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erardo/Desktop/SLR-Ethereum/Results/"/>
    </mc:Choice>
  </mc:AlternateContent>
  <xr:revisionPtr revIDLastSave="0" documentId="8_{D11F5613-005D-E64F-82BC-46E9DADB934A}" xr6:coauthVersionLast="47" xr6:coauthVersionMax="47" xr10:uidLastSave="{00000000-0000-0000-0000-000000000000}"/>
  <bookViews>
    <workbookView xWindow="780" yWindow="1000" windowWidth="27640" windowHeight="15220" xr2:uid="{EE7CEAD7-DA06-7941-8C53-878483ADBC0E}"/>
  </bookViews>
  <sheets>
    <sheet name="RQ4_Dataset" sheetId="1" r:id="rId1"/>
  </sheets>
  <externalReferences>
    <externalReference r:id="rId2"/>
  </externalReferences>
  <definedNames>
    <definedName name="_xlnm._FilterDatabase" localSheetId="0" hidden="1">RQ4_Dataset!$A$1:$J$133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3" i="1" l="1"/>
  <c r="D132" i="1"/>
  <c r="D131" i="1"/>
  <c r="D130" i="1"/>
  <c r="D129" i="1"/>
  <c r="D128" i="1"/>
  <c r="D127" i="1"/>
  <c r="D126" i="1"/>
  <c r="D125" i="1"/>
  <c r="D124" i="1"/>
  <c r="D123" i="1"/>
  <c r="D122" i="1"/>
  <c r="D121" i="1"/>
  <c r="A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<sst xmlns="http://schemas.openxmlformats.org/spreadsheetml/2006/main" count="625" uniqueCount="229">
  <si>
    <t>Discussed in</t>
  </si>
  <si>
    <t>Pubblication</t>
  </si>
  <si>
    <t>Project/Tool</t>
  </si>
  <si>
    <t>Repository</t>
  </si>
  <si>
    <t>N. Contracts</t>
  </si>
  <si>
    <t>Ground truth</t>
  </si>
  <si>
    <t>Analysis result</t>
  </si>
  <si>
    <t>Solidity</t>
  </si>
  <si>
    <t>Bytecode</t>
  </si>
  <si>
    <t>Addresses</t>
  </si>
  <si>
    <t>Real</t>
  </si>
  <si>
    <t>Synthetic</t>
  </si>
  <si>
    <t>PiantadosiEtAl2022</t>
  </si>
  <si>
    <t>AshouriEtAl2020</t>
  </si>
  <si>
    <t>-</t>
  </si>
  <si>
    <t>✓</t>
  </si>
  <si>
    <t>AzzopardiEtAl2018</t>
  </si>
  <si>
    <t>BhargavanEtAl2016</t>
  </si>
  <si>
    <t>ChangEtAl2019</t>
  </si>
  <si>
    <t>sCompile</t>
  </si>
  <si>
    <t>ChapmanEtAl2019</t>
  </si>
  <si>
    <t>Deviant</t>
  </si>
  <si>
    <t>ChatterjeeEtAl2019</t>
  </si>
  <si>
    <t>ChenEtAl2017</t>
  </si>
  <si>
    <t>DongEtAl2019</t>
  </si>
  <si>
    <t>El-DosukyEtAl2019</t>
  </si>
  <si>
    <t>DOORchain</t>
  </si>
  <si>
    <t>FeistEtAl2019</t>
  </si>
  <si>
    <t>Slither</t>
  </si>
  <si>
    <t>FuEtAl2019</t>
  </si>
  <si>
    <t>GaoEtAl2019</t>
  </si>
  <si>
    <t>Easyflow</t>
  </si>
  <si>
    <t>GrechEtAl2018</t>
  </si>
  <si>
    <t>MadMax</t>
  </si>
  <si>
    <t>GrossmanEtAl2017</t>
  </si>
  <si>
    <t>474025 blocks</t>
  </si>
  <si>
    <t>HeEtAl2019</t>
  </si>
  <si>
    <t>HiraiEtAl2017</t>
  </si>
  <si>
    <t>HonigEtAl2019</t>
  </si>
  <si>
    <t>JiaoEtAl2020</t>
  </si>
  <si>
    <t>LahbibEtAl2020</t>
  </si>
  <si>
    <t>LaiEtAl2020</t>
  </si>
  <si>
    <t>LiEtAl2019</t>
  </si>
  <si>
    <t>MuSC</t>
  </si>
  <si>
    <t>MaEtAl2019</t>
  </si>
  <si>
    <t>EVM*</t>
  </si>
  <si>
    <t>MedeirosEtAl2019</t>
  </si>
  <si>
    <t>SolUnit</t>
  </si>
  <si>
    <t>MomeniEtAl2019</t>
  </si>
  <si>
    <t>MossbergEtAl2019</t>
  </si>
  <si>
    <t>Manticore</t>
  </si>
  <si>
    <t>NguyenEtAl2019</t>
  </si>
  <si>
    <t>NikolicEtAl2018</t>
  </si>
  <si>
    <t>ParkEtAl2018</t>
  </si>
  <si>
    <t>PengEtAl2019</t>
  </si>
  <si>
    <t>SIF, SolAnalyser, Oyente, Securify, Maian, SmartCheck, Mythril</t>
  </si>
  <si>
    <t>SergeyEtAl2019</t>
  </si>
  <si>
    <t>ShishkinEtAl2018</t>
  </si>
  <si>
    <t>TianEtAl2019</t>
  </si>
  <si>
    <t>TorresEtAl2018</t>
  </si>
  <si>
    <t>Osiris</t>
  </si>
  <si>
    <t>TsankovEtAl2018</t>
  </si>
  <si>
    <t>Solidify</t>
  </si>
  <si>
    <t>WangEtAl2020</t>
  </si>
  <si>
    <t>YeEtAl2020</t>
  </si>
  <si>
    <t>ZhangQEtAl2020</t>
  </si>
  <si>
    <t>ZhangYEtAl2020</t>
  </si>
  <si>
    <t>dZaazaaAndElBakkali2023b, PiantadosiEtAl2022</t>
  </si>
  <si>
    <t>SongEtAl2019</t>
  </si>
  <si>
    <t>Oyente, ContractWard</t>
  </si>
  <si>
    <t>GaoEtAl2021</t>
  </si>
  <si>
    <t>Deckard, SmartCheck, SMARTEMBED</t>
  </si>
  <si>
    <t>TikhomirovEtAl2018</t>
  </si>
  <si>
    <t>Smartcheck</t>
  </si>
  <si>
    <t>WangEtAl2019</t>
  </si>
  <si>
    <t>NPChecker, Securify, Oyente, Mythril</t>
  </si>
  <si>
    <t>dZaazaaAndElBakkali2023b</t>
  </si>
  <si>
    <t>Smartcheck, Oyente, Mythril, Securify, Slither, Osiris, DeeSCVHunter, Clear</t>
  </si>
  <si>
    <t>Smartcheck, Oyente, Mythril, Securify, Slither, Osiris, DeeSCVHunter</t>
  </si>
  <si>
    <t>Yingjie et al., SmartBugs, SolidiFI</t>
  </si>
  <si>
    <t>QianEtAl2020</t>
  </si>
  <si>
    <t>VulDeeSmartContract (their tool also called BLSTM-ATT), Securify, SmartCheck, Mythril, Oyente</t>
  </si>
  <si>
    <t>LiaoEtAl2019</t>
  </si>
  <si>
    <t>SoliAudit, Oyente, Remix</t>
  </si>
  <si>
    <t>HeEtAl2024</t>
  </si>
  <si>
    <t>Peculiar</t>
  </si>
  <si>
    <t>AshrafEtAl2020</t>
  </si>
  <si>
    <t>GasFuzzer</t>
  </si>
  <si>
    <t>SamreenAndAlalfi2021</t>
  </si>
  <si>
    <t xml:space="preserve">SmartScan, SmartCheck </t>
  </si>
  <si>
    <t>NguyenEtAl2021</t>
  </si>
  <si>
    <t>SGUARD</t>
  </si>
  <si>
    <t>PanEtAl2021</t>
  </si>
  <si>
    <t>ReDefender</t>
  </si>
  <si>
    <t>ControEtAl2021</t>
  </si>
  <si>
    <t>EtherSolve</t>
  </si>
  <si>
    <t>AshizawaEtAl2021</t>
  </si>
  <si>
    <t>Eth2Vec</t>
  </si>
  <si>
    <t>ZhouEtAl2021</t>
  </si>
  <si>
    <t>SMARTGIFT</t>
  </si>
  <si>
    <t>LiuZEtAl2021</t>
  </si>
  <si>
    <t>AME (CGE)</t>
  </si>
  <si>
    <t>JianjunEtAl2021</t>
  </si>
  <si>
    <t>Jianjun et al tool</t>
  </si>
  <si>
    <t>FerreiraEtAl2020</t>
  </si>
  <si>
    <t>ÆGIS, ECFChecker, Sereum</t>
  </si>
  <si>
    <t>Hwang2020</t>
  </si>
  <si>
    <t>SC Analyzer</t>
  </si>
  <si>
    <t>NguyenEtAl2020</t>
  </si>
  <si>
    <t>sfuzz, ContractFuzzer, Oyente</t>
  </si>
  <si>
    <t>WangEtAl2020Artemis</t>
  </si>
  <si>
    <t>Artemis, Maian</t>
  </si>
  <si>
    <t>HaoEtAl2020</t>
  </si>
  <si>
    <t>SCScan</t>
  </si>
  <si>
    <t>XueEtAl2021</t>
  </si>
  <si>
    <t>Clairvoyance, Slither, Oyente, Securify</t>
  </si>
  <si>
    <t>FerreiraEtAl2021</t>
  </si>
  <si>
    <t>Smartbugs</t>
  </si>
  <si>
    <t>AlbertEtAl2019</t>
  </si>
  <si>
    <t>SAFEVM, VeryMax, SeaHorn, CPAchecker, Oyente, EthIR</t>
  </si>
  <si>
    <t>SAFEVM</t>
  </si>
  <si>
    <t>ChenEtAl2019</t>
  </si>
  <si>
    <t>OYENTE, MAIAN, Mythril, Evmdis, Miasm, Porosity</t>
  </si>
  <si>
    <t>PrechtelEtAl2019</t>
  </si>
  <si>
    <t>Mythril-enhanced version</t>
  </si>
  <si>
    <t>EnceEtAl2018</t>
  </si>
  <si>
    <t>SASC, oyente</t>
  </si>
  <si>
    <t>diAngeloAndSalzer2023</t>
  </si>
  <si>
    <t>SchneidewindEtAl2020</t>
  </si>
  <si>
    <t>eThor</t>
  </si>
  <si>
    <t>ZhouEtAl2020</t>
  </si>
  <si>
    <t>EverEvolvingG</t>
  </si>
  <si>
    <t>SmartBugs</t>
  </si>
  <si>
    <t>JeonEtAl2023</t>
  </si>
  <si>
    <t>SmartConDetect</t>
  </si>
  <si>
    <t>ChaliasosEtAl2024</t>
  </si>
  <si>
    <t>accademia vs practitioners in incedent report</t>
  </si>
  <si>
    <t>LiEtAl2022</t>
  </si>
  <si>
    <t>SmartFast</t>
  </si>
  <si>
    <t>NguyenEtAl2023</t>
  </si>
  <si>
    <t>MANDO-HGT, MANDO-GURU</t>
  </si>
  <si>
    <t>JiamingYeEtAl2022</t>
  </si>
  <si>
    <t>Vulpedia</t>
  </si>
  <si>
    <t>GuoEtAl2024</t>
  </si>
  <si>
    <t xml:space="preserve">MEVD </t>
  </si>
  <si>
    <t>DuanEtAl2023</t>
  </si>
  <si>
    <t>Duan et al. Framework</t>
  </si>
  <si>
    <t>QianEtAl2023b</t>
  </si>
  <si>
    <t xml:space="preserve">RNVulDet </t>
  </si>
  <si>
    <t>SoudEtAl2023</t>
  </si>
  <si>
    <t>SmartState</t>
  </si>
  <si>
    <t>ChoiEtAl2021</t>
  </si>
  <si>
    <t>Smartian</t>
  </si>
  <si>
    <t>HajiHosseinKhaniEtAl2024</t>
  </si>
  <si>
    <t>SCsVulLyzer</t>
  </si>
  <si>
    <t>L.ZhangEtAl2022</t>
  </si>
  <si>
    <t>MODNN</t>
  </si>
  <si>
    <t>DaiEtAl2022</t>
  </si>
  <si>
    <t>SuperDetector</t>
  </si>
  <si>
    <t>HuEtAl2023b</t>
  </si>
  <si>
    <t>SoliDetector</t>
  </si>
  <si>
    <t>NassirzadehEtAl2021</t>
  </si>
  <si>
    <t>Gas Gauge</t>
  </si>
  <si>
    <t>SP (SigmaPrime), 2018</t>
  </si>
  <si>
    <t>QianEtAl2023c</t>
  </si>
  <si>
    <t>Teacher-Student framework</t>
  </si>
  <si>
    <t>SunEtAl2022b</t>
  </si>
  <si>
    <t>ConFuzzius-BI</t>
  </si>
  <si>
    <t>WeiEtAl2023</t>
  </si>
  <si>
    <t>diAngeloEtAl2024</t>
  </si>
  <si>
    <t>sun2024gptscan</t>
  </si>
  <si>
    <t>Top200</t>
  </si>
  <si>
    <t>audited</t>
  </si>
  <si>
    <t>Web3Bugs</t>
  </si>
  <si>
    <t>DefiHacks</t>
  </si>
  <si>
    <t>luo2024scvhunter</t>
  </si>
  <si>
    <t>SCVHunter</t>
  </si>
  <si>
    <t>wang2024skyeye</t>
  </si>
  <si>
    <t>Rekt</t>
  </si>
  <si>
    <t>Certik</t>
  </si>
  <si>
    <t>Slowmist</t>
  </si>
  <si>
    <t>BlockSec</t>
  </si>
  <si>
    <t>li2024cobra</t>
  </si>
  <si>
    <t>Cobra</t>
  </si>
  <si>
    <t>wu2024advscanner</t>
  </si>
  <si>
    <t>AdvSCanner</t>
  </si>
  <si>
    <t>wang2024contracttinker</t>
  </si>
  <si>
    <t>ContractTinker</t>
  </si>
  <si>
    <t>eshghie2024oracle</t>
  </si>
  <si>
    <t>XploGen</t>
  </si>
  <si>
    <t>liu2024funredisp, liu2024funredisp2</t>
  </si>
  <si>
    <t>FunRedisp</t>
  </si>
  <si>
    <t>chen2024identifying</t>
  </si>
  <si>
    <t>SOChecher</t>
  </si>
  <si>
    <t>liang2024towards</t>
  </si>
  <si>
    <t>PonziGuard</t>
  </si>
  <si>
    <t>guo2024smart</t>
  </si>
  <si>
    <t>RLRep</t>
  </si>
  <si>
    <t>liu2024automated</t>
  </si>
  <si>
    <t>InvCon+</t>
  </si>
  <si>
    <t>ren2021empirical</t>
  </si>
  <si>
    <t>TorresEtAl2021</t>
  </si>
  <si>
    <t>ConFuzzius</t>
  </si>
  <si>
    <t>Zheng2023rudder</t>
  </si>
  <si>
    <t>SliSE</t>
  </si>
  <si>
    <t>Z.ZhangEtAl2023</t>
  </si>
  <si>
    <t>Code4rena</t>
  </si>
  <si>
    <t>liao2024smartaxe</t>
  </si>
  <si>
    <t>SmartAxe</t>
  </si>
  <si>
    <t>hajihosseinkhani2024unveiling</t>
  </si>
  <si>
    <t>BCCC-SCsVul-2024</t>
  </si>
  <si>
    <t>qian2024mufuzz</t>
  </si>
  <si>
    <t>MuFuzz</t>
  </si>
  <si>
    <t>wang2024contractgnn</t>
  </si>
  <si>
    <t>ContractGNN</t>
  </si>
  <si>
    <t>chu2024deepfusion</t>
  </si>
  <si>
    <t>DeepFusion</t>
  </si>
  <si>
    <t>li2024static</t>
  </si>
  <si>
    <t>zheng2024dappscan</t>
  </si>
  <si>
    <t>DAppSCAN-source</t>
  </si>
  <si>
    <t>DAppSCAN-bytecode</t>
  </si>
  <si>
    <t>Efficient Avoidance of Vulnerabilities in Auto-completed Smart Contract Code Using Vulnerability-constrained Decoding</t>
  </si>
  <si>
    <t xml:space="preserve">Vulnerable Verified Smart Contracts dataset: </t>
  </si>
  <si>
    <t>https://doi.org/10.6084/m9.figshare.21990287</t>
  </si>
  <si>
    <t>Verified Smart Contract Code Comments dataset:</t>
  </si>
  <si>
    <t xml:space="preserve"> https://doi.org/10.6084/m9.figshare.20780878 </t>
  </si>
  <si>
    <t xml:space="preserve">Verified Smart Contracts dataset: </t>
  </si>
  <si>
    <t>https://doi.org/10.6084/m9.figshare.20781799</t>
  </si>
  <si>
    <t>https://de.fi/audit-database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</si>
</sst>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Arial Unicode MS"/>
      <family val="2"/>
    </font>
    <font>
      <sz val="10"/>
      <color theme="1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49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 vertical="center"/>
    </xf>
    <xf numFmtId="0" fontId="2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21"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3" tint="0.74999237037263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erardo/Desktop/SLR-Ethereum/Data_analysis.xlsx" TargetMode="External"/><Relationship Id="rId1" Type="http://schemas.openxmlformats.org/officeDocument/2006/relationships/externalLinkPath" Target="/Users/gerardo/Desktop/SLR-Ethereum/Data_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pers"/>
      <sheetName val="Vulnerabilities"/>
      <sheetName val="RQ1_ValidatedTaxonomy"/>
      <sheetName val="RQ2_Tools"/>
      <sheetName val="RQ3_Mapping"/>
      <sheetName val="RQ4_Dataset"/>
    </sheetNames>
    <sheetDataSet>
      <sheetData sheetId="0">
        <row r="134">
          <cell r="T134" t="str">
            <v>wu2024we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B342C1-9419-6F4D-B9BE-ACA48D24F334}" name="Table1" displayName="Table1" ref="A1:L133" totalsRowShown="0" headerRowDxfId="13" dataDxfId="12" tableBorderDxfId="11">
  <autoFilter ref="A1:L133" xr:uid="{92D4095D-9FDD-E943-A859-04FAB0CF10ED}"/>
  <tableColumns count="12">
    <tableColumn id="1" xr3:uid="{99F00512-3621-8546-AE46-3E75E78BC7E6}" name="Discussed in" dataDxfId="10"/>
    <tableColumn id="2" xr3:uid="{4664B8C5-0227-EA48-959F-8669BAEFC0BE}" name="Pubblication"/>
    <tableColumn id="3" xr3:uid="{FCA70D9A-A72C-E045-BF7D-E8CDC905EE16}" name="Project/Tool" dataDxfId="9"/>
    <tableColumn id="4" xr3:uid="{CAFABD22-7F74-5A46-9025-BBEFE7F40C31}" name="Repository" dataDxfId="8"/>
    <tableColumn id="5" xr3:uid="{1C6D7A48-DCE8-9047-A49D-DA164623FCAE}" name="N. Contracts" dataDxfId="7"/>
    <tableColumn id="6" xr3:uid="{AB56558B-0FAB-8746-9B75-C3E6194DF27C}" name="Ground truth" dataDxfId="6"/>
    <tableColumn id="7" xr3:uid="{6BDF8177-0D66-1140-BEAB-9028F8C88EAF}" name="Analysis result" dataDxfId="5"/>
    <tableColumn id="8" xr3:uid="{63B3B0AE-2485-3343-A721-162F5BAAC38B}" name="Solidity" dataDxfId="4"/>
    <tableColumn id="9" xr3:uid="{24A9A684-04FF-E342-814B-50A3ACB15A52}" name="Bytecode" dataDxfId="3"/>
    <tableColumn id="10" xr3:uid="{685F14E2-4B9E-9940-92DA-A69876BF5CA9}" name="Addresses" dataDxfId="2"/>
    <tableColumn id="11" xr3:uid="{0E7BF16D-2805-1D4D-A02E-D391567F5CFA}" name="Real" dataDxfId="1"/>
    <tableColumn id="12" xr3:uid="{A7E9C2F8-A7FC-1C4F-AB3D-21B208D984C6}" name="Synthetic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AACD8-A99D-6E41-9F51-68EA52AC790F}">
  <dimension ref="A1:N138"/>
  <sheetViews>
    <sheetView tabSelected="1" zoomScale="109" zoomScaleNormal="85" workbookViewId="0">
      <pane ySplit="1" topLeftCell="A83" activePane="bottomLeft" state="frozen"/>
      <selection pane="bottomLeft" activeCell="N80" sqref="N80"/>
    </sheetView>
  </sheetViews>
  <sheetFormatPr baseColWidth="10" defaultColWidth="8.83203125" defaultRowHeight="15" x14ac:dyDescent="0.2"/>
  <cols>
    <col min="1" max="1" width="38" bestFit="1" customWidth="1"/>
    <col min="2" max="2" width="29.1640625" style="7" bestFit="1" customWidth="1"/>
    <col min="3" max="3" width="85.33203125" style="8" bestFit="1" customWidth="1"/>
    <col min="4" max="4" width="12.1640625" style="8" bestFit="1" customWidth="1"/>
    <col min="5" max="5" width="13.33203125" style="9" bestFit="1" customWidth="1"/>
    <col min="6" max="6" width="13.83203125" style="9" bestFit="1" customWidth="1"/>
    <col min="7" max="7" width="15" style="10" bestFit="1" customWidth="1"/>
    <col min="8" max="8" width="9.6640625" style="10" bestFit="1" customWidth="1"/>
    <col min="9" max="9" width="11" style="10" bestFit="1" customWidth="1"/>
    <col min="10" max="10" width="11.83203125" style="10" bestFit="1" customWidth="1"/>
    <col min="11" max="11" width="8" bestFit="1" customWidth="1"/>
    <col min="12" max="12" width="11.1640625" bestFit="1" customWidth="1"/>
    <col min="13" max="13" width="12.6640625" customWidth="1"/>
  </cols>
  <sheetData>
    <row r="1" spans="1:12" x14ac:dyDescent="0.2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6" t="s">
        <v>11</v>
      </c>
    </row>
    <row r="2" spans="1:12" x14ac:dyDescent="0.2">
      <c r="A2" t="s">
        <v>12</v>
      </c>
      <c r="B2" s="7" t="s">
        <v>13</v>
      </c>
      <c r="C2" s="8" t="s">
        <v>14</v>
      </c>
      <c r="D2" s="9" t="str">
        <f>IF(AND(ISTEXT(""),""&lt;&gt;""), HYPERLINK("", "Link"),"-")</f>
        <v>-</v>
      </c>
      <c r="E2" s="9">
        <v>12</v>
      </c>
      <c r="I2" s="10" t="s">
        <v>15</v>
      </c>
      <c r="K2" s="10"/>
      <c r="L2" s="10"/>
    </row>
    <row r="3" spans="1:12" x14ac:dyDescent="0.2">
      <c r="A3" t="s">
        <v>12</v>
      </c>
      <c r="B3" s="7" t="s">
        <v>16</v>
      </c>
      <c r="C3" s="8" t="s">
        <v>14</v>
      </c>
      <c r="D3" s="9" t="str">
        <f t="shared" ref="D3:D33" si="0">IF(AND(ISTEXT(""),""&lt;&gt;""), HYPERLINK("", "Link"),"-")</f>
        <v>-</v>
      </c>
      <c r="K3" s="10"/>
      <c r="L3" s="10"/>
    </row>
    <row r="4" spans="1:12" x14ac:dyDescent="0.2">
      <c r="A4" t="s">
        <v>12</v>
      </c>
      <c r="B4" s="11" t="s">
        <v>17</v>
      </c>
      <c r="C4" s="8" t="s">
        <v>14</v>
      </c>
      <c r="D4" s="9" t="str">
        <f t="shared" si="0"/>
        <v>-</v>
      </c>
      <c r="E4" s="9">
        <v>112802</v>
      </c>
      <c r="I4" s="10" t="s">
        <v>15</v>
      </c>
      <c r="K4" s="10"/>
      <c r="L4" s="10"/>
    </row>
    <row r="5" spans="1:12" x14ac:dyDescent="0.2">
      <c r="A5" t="s">
        <v>12</v>
      </c>
      <c r="B5" s="11" t="s">
        <v>18</v>
      </c>
      <c r="C5" s="8" t="s">
        <v>19</v>
      </c>
      <c r="D5" s="9" t="str">
        <f t="shared" si="0"/>
        <v>-</v>
      </c>
      <c r="E5" s="9">
        <v>36099</v>
      </c>
      <c r="H5" s="10" t="s">
        <v>15</v>
      </c>
      <c r="K5" s="10"/>
      <c r="L5" s="10"/>
    </row>
    <row r="6" spans="1:12" x14ac:dyDescent="0.2">
      <c r="A6" t="s">
        <v>12</v>
      </c>
      <c r="B6" s="11" t="s">
        <v>20</v>
      </c>
      <c r="C6" s="8" t="s">
        <v>21</v>
      </c>
      <c r="D6" s="9" t="str">
        <f t="shared" si="0"/>
        <v>-</v>
      </c>
      <c r="E6" s="9">
        <v>3</v>
      </c>
      <c r="H6" s="10" t="s">
        <v>15</v>
      </c>
      <c r="K6" s="10"/>
      <c r="L6" s="10"/>
    </row>
    <row r="7" spans="1:12" x14ac:dyDescent="0.2">
      <c r="A7" t="s">
        <v>12</v>
      </c>
      <c r="B7" s="11" t="s">
        <v>22</v>
      </c>
      <c r="C7" s="8" t="s">
        <v>14</v>
      </c>
      <c r="D7" s="9" t="str">
        <f t="shared" si="0"/>
        <v>-</v>
      </c>
      <c r="E7" s="9">
        <v>36764</v>
      </c>
      <c r="H7" s="10" t="s">
        <v>15</v>
      </c>
      <c r="K7" s="10"/>
      <c r="L7" s="10"/>
    </row>
    <row r="8" spans="1:12" x14ac:dyDescent="0.2">
      <c r="A8" t="s">
        <v>12</v>
      </c>
      <c r="B8" s="11" t="s">
        <v>23</v>
      </c>
      <c r="C8" s="8" t="s">
        <v>14</v>
      </c>
      <c r="D8" s="9" t="str">
        <f t="shared" si="0"/>
        <v>-</v>
      </c>
      <c r="E8" s="9">
        <v>16000</v>
      </c>
      <c r="H8" s="10" t="s">
        <v>15</v>
      </c>
      <c r="K8" s="10"/>
      <c r="L8" s="10"/>
    </row>
    <row r="9" spans="1:12" x14ac:dyDescent="0.2">
      <c r="A9" t="s">
        <v>12</v>
      </c>
      <c r="B9" s="11" t="s">
        <v>24</v>
      </c>
      <c r="C9" s="8" t="s">
        <v>14</v>
      </c>
      <c r="D9" s="9" t="str">
        <f t="shared" si="0"/>
        <v>-</v>
      </c>
      <c r="E9" s="9">
        <v>2</v>
      </c>
      <c r="H9" s="10" t="s">
        <v>15</v>
      </c>
      <c r="K9" s="10"/>
      <c r="L9" s="10"/>
    </row>
    <row r="10" spans="1:12" x14ac:dyDescent="0.2">
      <c r="A10" t="s">
        <v>12</v>
      </c>
      <c r="B10" s="11" t="s">
        <v>25</v>
      </c>
      <c r="C10" s="8" t="s">
        <v>26</v>
      </c>
      <c r="D10" s="9" t="str">
        <f t="shared" si="0"/>
        <v>-</v>
      </c>
      <c r="H10" s="10" t="s">
        <v>15</v>
      </c>
      <c r="K10" s="10"/>
      <c r="L10" s="10"/>
    </row>
    <row r="11" spans="1:12" x14ac:dyDescent="0.2">
      <c r="A11" t="s">
        <v>12</v>
      </c>
      <c r="B11" s="11" t="s">
        <v>27</v>
      </c>
      <c r="C11" s="8" t="s">
        <v>28</v>
      </c>
      <c r="D11" s="9" t="str">
        <f t="shared" si="0"/>
        <v>-</v>
      </c>
      <c r="E11" s="9">
        <v>36000</v>
      </c>
      <c r="H11" s="10" t="s">
        <v>15</v>
      </c>
      <c r="K11" s="10"/>
      <c r="L11" s="10"/>
    </row>
    <row r="12" spans="1:12" x14ac:dyDescent="0.2">
      <c r="A12" t="s">
        <v>12</v>
      </c>
      <c r="B12" s="11" t="s">
        <v>29</v>
      </c>
      <c r="C12" s="8" t="s">
        <v>14</v>
      </c>
      <c r="D12" s="9" t="str">
        <f t="shared" si="0"/>
        <v>-</v>
      </c>
      <c r="E12" s="9">
        <v>10000</v>
      </c>
      <c r="H12" s="10" t="s">
        <v>15</v>
      </c>
      <c r="K12" s="10"/>
      <c r="L12" s="10"/>
    </row>
    <row r="13" spans="1:12" x14ac:dyDescent="0.2">
      <c r="A13" t="s">
        <v>12</v>
      </c>
      <c r="B13" s="11" t="s">
        <v>30</v>
      </c>
      <c r="C13" s="8" t="s">
        <v>31</v>
      </c>
      <c r="D13" s="9" t="str">
        <f t="shared" si="0"/>
        <v>-</v>
      </c>
      <c r="I13" s="10" t="s">
        <v>15</v>
      </c>
      <c r="K13" s="10"/>
      <c r="L13" s="10"/>
    </row>
    <row r="14" spans="1:12" x14ac:dyDescent="0.2">
      <c r="A14" t="s">
        <v>12</v>
      </c>
      <c r="B14" s="11" t="s">
        <v>32</v>
      </c>
      <c r="C14" s="8" t="s">
        <v>33</v>
      </c>
      <c r="D14" s="9" t="str">
        <f t="shared" si="0"/>
        <v>-</v>
      </c>
      <c r="H14" s="10" t="s">
        <v>15</v>
      </c>
      <c r="K14" s="10"/>
      <c r="L14" s="10"/>
    </row>
    <row r="15" spans="1:12" x14ac:dyDescent="0.2">
      <c r="A15" t="s">
        <v>12</v>
      </c>
      <c r="B15" s="11" t="s">
        <v>34</v>
      </c>
      <c r="C15" s="8" t="s">
        <v>14</v>
      </c>
      <c r="D15" s="9" t="str">
        <f t="shared" si="0"/>
        <v>-</v>
      </c>
      <c r="E15" s="9">
        <v>3444354</v>
      </c>
      <c r="F15" s="9" t="s">
        <v>35</v>
      </c>
      <c r="H15" s="10" t="s">
        <v>15</v>
      </c>
      <c r="K15" s="10"/>
      <c r="L15" s="10"/>
    </row>
    <row r="16" spans="1:12" x14ac:dyDescent="0.2">
      <c r="A16" t="s">
        <v>12</v>
      </c>
      <c r="B16" s="11" t="s">
        <v>36</v>
      </c>
      <c r="C16" s="8" t="s">
        <v>14</v>
      </c>
      <c r="D16" s="9" t="str">
        <f t="shared" si="0"/>
        <v>-</v>
      </c>
      <c r="E16" s="9">
        <v>18498</v>
      </c>
      <c r="H16" s="10" t="s">
        <v>15</v>
      </c>
      <c r="K16" s="10"/>
      <c r="L16" s="10"/>
    </row>
    <row r="17" spans="1:12" x14ac:dyDescent="0.2">
      <c r="A17" t="s">
        <v>12</v>
      </c>
      <c r="B17" s="11" t="s">
        <v>37</v>
      </c>
      <c r="C17" s="8" t="s">
        <v>14</v>
      </c>
      <c r="D17" s="9" t="str">
        <f t="shared" si="0"/>
        <v>-</v>
      </c>
      <c r="I17" s="10" t="s">
        <v>15</v>
      </c>
      <c r="K17" s="10"/>
      <c r="L17" s="10"/>
    </row>
    <row r="18" spans="1:12" x14ac:dyDescent="0.2">
      <c r="A18" t="s">
        <v>12</v>
      </c>
      <c r="B18" s="11" t="s">
        <v>38</v>
      </c>
      <c r="C18" s="8" t="s">
        <v>14</v>
      </c>
      <c r="D18" s="9" t="str">
        <f t="shared" si="0"/>
        <v>-</v>
      </c>
      <c r="H18" s="10" t="s">
        <v>15</v>
      </c>
      <c r="K18" s="10"/>
      <c r="L18" s="10"/>
    </row>
    <row r="19" spans="1:12" x14ac:dyDescent="0.2">
      <c r="A19" t="s">
        <v>12</v>
      </c>
      <c r="B19" s="11" t="s">
        <v>39</v>
      </c>
      <c r="C19" s="8" t="s">
        <v>14</v>
      </c>
      <c r="D19" s="9" t="str">
        <f t="shared" si="0"/>
        <v>-</v>
      </c>
      <c r="E19" s="9">
        <v>482</v>
      </c>
      <c r="H19" s="10" t="s">
        <v>15</v>
      </c>
      <c r="K19" s="10"/>
      <c r="L19" s="10"/>
    </row>
    <row r="20" spans="1:12" x14ac:dyDescent="0.2">
      <c r="A20" t="s">
        <v>12</v>
      </c>
      <c r="B20" s="11" t="s">
        <v>40</v>
      </c>
      <c r="C20" s="8" t="s">
        <v>14</v>
      </c>
      <c r="D20" s="9" t="str">
        <f t="shared" si="0"/>
        <v>-</v>
      </c>
      <c r="I20" s="10" t="s">
        <v>15</v>
      </c>
      <c r="K20" s="10"/>
      <c r="L20" s="10"/>
    </row>
    <row r="21" spans="1:12" x14ac:dyDescent="0.2">
      <c r="A21" t="s">
        <v>12</v>
      </c>
      <c r="B21" s="11" t="s">
        <v>41</v>
      </c>
      <c r="C21" s="8" t="s">
        <v>14</v>
      </c>
      <c r="D21" s="9" t="str">
        <f t="shared" si="0"/>
        <v>-</v>
      </c>
      <c r="E21" s="9">
        <v>7000</v>
      </c>
      <c r="H21" s="10" t="s">
        <v>15</v>
      </c>
      <c r="K21" s="10"/>
      <c r="L21" s="10"/>
    </row>
    <row r="22" spans="1:12" x14ac:dyDescent="0.2">
      <c r="A22" t="s">
        <v>12</v>
      </c>
      <c r="B22" s="11" t="s">
        <v>42</v>
      </c>
      <c r="C22" s="8" t="s">
        <v>43</v>
      </c>
      <c r="D22" s="9" t="str">
        <f t="shared" si="0"/>
        <v>-</v>
      </c>
      <c r="H22" s="10" t="s">
        <v>15</v>
      </c>
      <c r="K22" s="10"/>
      <c r="L22" s="10"/>
    </row>
    <row r="23" spans="1:12" x14ac:dyDescent="0.2">
      <c r="A23" t="s">
        <v>12</v>
      </c>
      <c r="B23" s="11" t="s">
        <v>44</v>
      </c>
      <c r="C23" s="8" t="s">
        <v>45</v>
      </c>
      <c r="D23" s="9" t="str">
        <f t="shared" si="0"/>
        <v>-</v>
      </c>
      <c r="E23" s="9">
        <v>10</v>
      </c>
      <c r="I23" s="10" t="s">
        <v>15</v>
      </c>
      <c r="K23" s="10"/>
      <c r="L23" s="10"/>
    </row>
    <row r="24" spans="1:12" x14ac:dyDescent="0.2">
      <c r="A24" t="s">
        <v>12</v>
      </c>
      <c r="B24" s="11" t="s">
        <v>46</v>
      </c>
      <c r="C24" s="8" t="s">
        <v>47</v>
      </c>
      <c r="D24" s="9" t="str">
        <f t="shared" si="0"/>
        <v>-</v>
      </c>
      <c r="H24" s="10" t="s">
        <v>15</v>
      </c>
      <c r="K24" s="10"/>
      <c r="L24" s="10"/>
    </row>
    <row r="25" spans="1:12" x14ac:dyDescent="0.2">
      <c r="A25" t="s">
        <v>12</v>
      </c>
      <c r="B25" s="11" t="s">
        <v>48</v>
      </c>
      <c r="C25" s="8" t="s">
        <v>14</v>
      </c>
      <c r="D25" s="9" t="str">
        <f t="shared" si="0"/>
        <v>-</v>
      </c>
      <c r="E25" s="9">
        <v>13745</v>
      </c>
      <c r="H25" s="10" t="s">
        <v>15</v>
      </c>
      <c r="K25" s="10"/>
      <c r="L25" s="10"/>
    </row>
    <row r="26" spans="1:12" x14ac:dyDescent="0.2">
      <c r="A26" t="s">
        <v>12</v>
      </c>
      <c r="B26" s="11" t="s">
        <v>49</v>
      </c>
      <c r="C26" s="8" t="s">
        <v>50</v>
      </c>
      <c r="D26" s="9" t="str">
        <f t="shared" si="0"/>
        <v>-</v>
      </c>
      <c r="E26" s="9">
        <v>100</v>
      </c>
      <c r="H26" s="10" t="s">
        <v>15</v>
      </c>
      <c r="K26" s="10"/>
      <c r="L26" s="10"/>
    </row>
    <row r="27" spans="1:12" x14ac:dyDescent="0.2">
      <c r="A27" t="s">
        <v>12</v>
      </c>
      <c r="B27" s="11" t="s">
        <v>51</v>
      </c>
      <c r="C27" s="8" t="s">
        <v>14</v>
      </c>
      <c r="D27" s="9" t="str">
        <f t="shared" si="0"/>
        <v>-</v>
      </c>
      <c r="H27" s="10" t="s">
        <v>15</v>
      </c>
      <c r="K27" s="10"/>
      <c r="L27" s="10"/>
    </row>
    <row r="28" spans="1:12" x14ac:dyDescent="0.2">
      <c r="A28" t="s">
        <v>12</v>
      </c>
      <c r="B28" s="11" t="s">
        <v>52</v>
      </c>
      <c r="C28" s="8" t="s">
        <v>14</v>
      </c>
      <c r="D28" s="9" t="str">
        <f t="shared" si="0"/>
        <v>-</v>
      </c>
      <c r="E28" s="9">
        <v>970898</v>
      </c>
      <c r="I28" s="10" t="s">
        <v>15</v>
      </c>
      <c r="K28" s="10"/>
      <c r="L28" s="10"/>
    </row>
    <row r="29" spans="1:12" x14ac:dyDescent="0.2">
      <c r="A29" t="s">
        <v>12</v>
      </c>
      <c r="B29" s="11" t="s">
        <v>53</v>
      </c>
      <c r="C29" s="8" t="s">
        <v>14</v>
      </c>
      <c r="D29" s="9" t="str">
        <f t="shared" si="0"/>
        <v>-</v>
      </c>
      <c r="I29" s="10" t="s">
        <v>15</v>
      </c>
      <c r="K29" s="10"/>
      <c r="L29" s="10"/>
    </row>
    <row r="30" spans="1:12" x14ac:dyDescent="0.2">
      <c r="A30" t="s">
        <v>12</v>
      </c>
      <c r="B30" s="11" t="s">
        <v>54</v>
      </c>
      <c r="C30" s="8" t="s">
        <v>55</v>
      </c>
      <c r="D30" s="9" t="str">
        <f t="shared" si="0"/>
        <v>-</v>
      </c>
      <c r="E30" s="9">
        <v>1838</v>
      </c>
      <c r="H30" s="10" t="s">
        <v>15</v>
      </c>
      <c r="K30" s="10"/>
      <c r="L30" s="10"/>
    </row>
    <row r="31" spans="1:12" x14ac:dyDescent="0.2">
      <c r="A31" t="s">
        <v>12</v>
      </c>
      <c r="B31" s="11" t="s">
        <v>56</v>
      </c>
      <c r="C31" s="8" t="s">
        <v>14</v>
      </c>
      <c r="D31" s="9" t="str">
        <f t="shared" si="0"/>
        <v>-</v>
      </c>
      <c r="H31" s="10" t="s">
        <v>15</v>
      </c>
      <c r="I31" s="10" t="s">
        <v>15</v>
      </c>
      <c r="K31" s="10"/>
      <c r="L31" s="10"/>
    </row>
    <row r="32" spans="1:12" x14ac:dyDescent="0.2">
      <c r="A32" t="s">
        <v>12</v>
      </c>
      <c r="B32" s="11" t="s">
        <v>57</v>
      </c>
      <c r="C32" s="8" t="s">
        <v>14</v>
      </c>
      <c r="D32" s="9" t="str">
        <f t="shared" si="0"/>
        <v>-</v>
      </c>
      <c r="H32" s="10" t="s">
        <v>15</v>
      </c>
      <c r="K32" s="10"/>
      <c r="L32" s="10"/>
    </row>
    <row r="33" spans="1:12" x14ac:dyDescent="0.2">
      <c r="A33" t="s">
        <v>12</v>
      </c>
      <c r="B33" s="11" t="s">
        <v>58</v>
      </c>
      <c r="C33" s="8" t="s">
        <v>14</v>
      </c>
      <c r="D33" s="9" t="str">
        <f t="shared" si="0"/>
        <v>-</v>
      </c>
      <c r="E33" s="9">
        <v>20</v>
      </c>
      <c r="I33" s="10" t="s">
        <v>15</v>
      </c>
      <c r="K33" s="10"/>
      <c r="L33" s="10"/>
    </row>
    <row r="34" spans="1:12" x14ac:dyDescent="0.2">
      <c r="A34" t="s">
        <v>12</v>
      </c>
      <c r="B34" s="11" t="s">
        <v>59</v>
      </c>
      <c r="C34" s="8" t="s">
        <v>60</v>
      </c>
      <c r="D34" s="9" t="str">
        <f>IF(AND(ISTEXT("https://github.com/christoftorres/Osiris/tree/master/datasets"),"https://github.com/christoftorres/Osiris/tree/master/datasets"&lt;&gt;""), HYPERLINK("https://github.com/christoftorres/Osiris/tree/master/datasets", "Link"),"-")</f>
        <v>Link</v>
      </c>
      <c r="E34" s="9">
        <v>1207335</v>
      </c>
      <c r="F34" s="9">
        <v>50535</v>
      </c>
      <c r="G34" s="10" t="s">
        <v>15</v>
      </c>
      <c r="I34" s="10" t="s">
        <v>15</v>
      </c>
      <c r="J34" s="10" t="s">
        <v>15</v>
      </c>
      <c r="K34" s="10" t="s">
        <v>15</v>
      </c>
      <c r="L34" s="10"/>
    </row>
    <row r="35" spans="1:12" x14ac:dyDescent="0.2">
      <c r="A35" t="s">
        <v>12</v>
      </c>
      <c r="B35" s="11" t="s">
        <v>61</v>
      </c>
      <c r="C35" s="8" t="s">
        <v>62</v>
      </c>
      <c r="D35" s="9" t="str">
        <f>IF(AND(ISTEXT(""),""&lt;&gt;""), HYPERLINK("", "Link"),"-")</f>
        <v>-</v>
      </c>
      <c r="E35" s="9">
        <v>24594</v>
      </c>
      <c r="G35" s="10" t="s">
        <v>15</v>
      </c>
      <c r="I35" s="10" t="s">
        <v>15</v>
      </c>
      <c r="K35" s="10"/>
      <c r="L35" s="10"/>
    </row>
    <row r="36" spans="1:12" x14ac:dyDescent="0.2">
      <c r="A36" t="s">
        <v>12</v>
      </c>
      <c r="B36" s="11" t="s">
        <v>61</v>
      </c>
      <c r="C36" s="8" t="s">
        <v>62</v>
      </c>
      <c r="D36" s="9" t="str">
        <f>IF(AND(ISTEXT("https://github.com/DependableSystemsLab/SolidiFI-benchmark"),"https://github.com/DependableSystemsLab/SolidiFI-benchmark"&lt;&gt;""), HYPERLINK("https://github.com/DependableSystemsLab/SolidiFI-benchmark", "Link"),"-")</f>
        <v>Link</v>
      </c>
      <c r="E36" s="9">
        <v>100</v>
      </c>
      <c r="G36" s="10" t="s">
        <v>15</v>
      </c>
      <c r="H36" s="10" t="s">
        <v>15</v>
      </c>
      <c r="K36" s="10"/>
      <c r="L36" s="10" t="s">
        <v>15</v>
      </c>
    </row>
    <row r="37" spans="1:12" x14ac:dyDescent="0.2">
      <c r="A37" t="s">
        <v>12</v>
      </c>
      <c r="B37" s="11" t="s">
        <v>63</v>
      </c>
      <c r="C37" s="8" t="s">
        <v>14</v>
      </c>
      <c r="D37" s="9" t="str">
        <f>IF(AND(ISTEXT(""),""&lt;&gt;""), HYPERLINK("", "Link"),"-")</f>
        <v>-</v>
      </c>
      <c r="H37" s="10" t="s">
        <v>15</v>
      </c>
      <c r="K37" s="10"/>
      <c r="L37" s="10"/>
    </row>
    <row r="38" spans="1:12" x14ac:dyDescent="0.2">
      <c r="A38" t="s">
        <v>12</v>
      </c>
      <c r="B38" s="11" t="s">
        <v>64</v>
      </c>
      <c r="C38" s="8" t="s">
        <v>14</v>
      </c>
      <c r="D38" s="9" t="str">
        <f>IF(AND(ISTEXT(""),""&lt;&gt;""), HYPERLINK("", "Link"),"-")</f>
        <v>-</v>
      </c>
      <c r="E38" s="9">
        <v>31097</v>
      </c>
      <c r="I38" s="10" t="s">
        <v>15</v>
      </c>
      <c r="K38" s="10"/>
      <c r="L38" s="10"/>
    </row>
    <row r="39" spans="1:12" x14ac:dyDescent="0.2">
      <c r="A39" t="s">
        <v>12</v>
      </c>
      <c r="B39" s="11" t="s">
        <v>65</v>
      </c>
      <c r="C39" s="8" t="s">
        <v>14</v>
      </c>
      <c r="D39" s="9" t="str">
        <f>IF(AND(ISTEXT(""),""&lt;&gt;""), HYPERLINK("", "Link"),"-")</f>
        <v>-</v>
      </c>
      <c r="E39" s="9">
        <v>49522</v>
      </c>
      <c r="H39" s="10" t="s">
        <v>15</v>
      </c>
      <c r="K39" s="10"/>
      <c r="L39" s="10"/>
    </row>
    <row r="40" spans="1:12" x14ac:dyDescent="0.2">
      <c r="A40" t="s">
        <v>12</v>
      </c>
      <c r="B40" s="11" t="s">
        <v>66</v>
      </c>
      <c r="C40" s="8" t="s">
        <v>14</v>
      </c>
      <c r="D40" s="9" t="str">
        <f>IF(AND(ISTEXT(""),""&lt;&gt;""), HYPERLINK("", "Link"),"-")</f>
        <v>-</v>
      </c>
      <c r="E40" s="9">
        <v>2214409</v>
      </c>
      <c r="I40" s="10" t="s">
        <v>15</v>
      </c>
      <c r="K40" s="10"/>
      <c r="L40" s="10"/>
    </row>
    <row r="41" spans="1:12" x14ac:dyDescent="0.2">
      <c r="A41" s="12" t="s">
        <v>67</v>
      </c>
      <c r="B41" s="11" t="s">
        <v>68</v>
      </c>
      <c r="C41" s="8" t="s">
        <v>69</v>
      </c>
      <c r="D41" s="9" t="str">
        <f>IF(AND(ISTEXT(""),""&lt;&gt;""), HYPERLINK("", "Link"),"-")</f>
        <v>-</v>
      </c>
      <c r="E41" s="9">
        <v>49502</v>
      </c>
      <c r="H41" s="10" t="s">
        <v>15</v>
      </c>
      <c r="K41" s="10"/>
      <c r="L41" s="10"/>
    </row>
    <row r="42" spans="1:12" x14ac:dyDescent="0.2">
      <c r="A42" s="12" t="s">
        <v>67</v>
      </c>
      <c r="B42" s="7" t="s">
        <v>70</v>
      </c>
      <c r="C42" s="8" t="s">
        <v>71</v>
      </c>
      <c r="D42" s="9" t="str">
        <f>IF(AND(ISTEXT("https://drive.google.com/file/d/13iTTpt7gFd9wEW35C2fX4pVT7cVlHgxi/view?usp=sharing"),"https://drive.google.com/file/d/13iTTpt7gFd9wEW35C2fX4pVT7cVlHgxi/view?usp=sharing"&lt;&gt;""), HYPERLINK("https://drive.google.com/file/d/13iTTpt7gFd9wEW35C2fX4pVT7cVlHgxi/view?usp=sharing", "Link"),"-")</f>
        <v>Link</v>
      </c>
      <c r="E42" s="9">
        <v>22725</v>
      </c>
      <c r="H42" s="10" t="s">
        <v>15</v>
      </c>
      <c r="J42" s="10" t="s">
        <v>15</v>
      </c>
      <c r="K42" s="10" t="s">
        <v>15</v>
      </c>
      <c r="L42" s="10"/>
    </row>
    <row r="43" spans="1:12" x14ac:dyDescent="0.2">
      <c r="A43" s="12" t="s">
        <v>67</v>
      </c>
      <c r="B43" s="7" t="s">
        <v>72</v>
      </c>
      <c r="C43" s="8" t="s">
        <v>73</v>
      </c>
      <c r="D43" s="9" t="str">
        <f>IF(AND(ISTEXT("https://github.com/smartdec/smartcheck/tree/master/src/test/resources/rules"),"https://github.com/smartdec/smartcheck/tree/master/src/test/resources/rules"&lt;&gt;""), HYPERLINK("https://github.com/smartdec/smartcheck/tree/master/src/test/resources/rules", "Link"),"-")</f>
        <v>Link</v>
      </c>
      <c r="E43" s="9">
        <v>4600</v>
      </c>
      <c r="H43" s="10" t="s">
        <v>15</v>
      </c>
      <c r="K43" s="10" t="s">
        <v>15</v>
      </c>
      <c r="L43" s="10"/>
    </row>
    <row r="44" spans="1:12" x14ac:dyDescent="0.2">
      <c r="A44" t="s">
        <v>67</v>
      </c>
      <c r="B44" s="11" t="s">
        <v>74</v>
      </c>
      <c r="C44" s="9" t="s">
        <v>75</v>
      </c>
      <c r="D44" s="9" t="str">
        <f>IF(AND(ISTEXT(""),""&lt;&gt;""), HYPERLINK("", "Link"),"-")</f>
        <v>-</v>
      </c>
      <c r="E44" s="9">
        <v>31097</v>
      </c>
      <c r="F44" s="9">
        <v>30000</v>
      </c>
      <c r="H44" s="10" t="s">
        <v>15</v>
      </c>
      <c r="I44" s="10" t="s">
        <v>15</v>
      </c>
      <c r="K44" s="10"/>
      <c r="L44" s="10"/>
    </row>
    <row r="45" spans="1:12" x14ac:dyDescent="0.2">
      <c r="A45" s="12" t="s">
        <v>76</v>
      </c>
      <c r="B45" s="7" t="s">
        <v>14</v>
      </c>
      <c r="C45" s="8" t="s">
        <v>77</v>
      </c>
      <c r="D45" s="9" t="str">
        <f>IF(AND(ISTEXT("https://github.com/Messi-Q/Smart-Contract-Dataset"),"https://github.com/Messi-Q/Smart-Contract-Dataset"&lt;&gt;""), HYPERLINK("https://github.com/Messi-Q/Smart-Contract-Dataset", "Link"),"-")</f>
        <v>Link</v>
      </c>
      <c r="H45" s="10" t="s">
        <v>15</v>
      </c>
      <c r="K45" s="10" t="s">
        <v>15</v>
      </c>
      <c r="L45" s="10"/>
    </row>
    <row r="46" spans="1:12" x14ac:dyDescent="0.2">
      <c r="A46" s="12" t="s">
        <v>76</v>
      </c>
      <c r="B46" s="7" t="s">
        <v>14</v>
      </c>
      <c r="C46" s="8" t="s">
        <v>78</v>
      </c>
      <c r="D46" s="9" t="str">
        <f>IF(AND(ISTEXT(" https://drive.google.com/file/d/1XFp3tZSMkWSkeLSHe_vrQjGZYZ3LzB2s/view")," https://drive.google.com/file/d/1XFp3tZSMkWSkeLSHe_vrQjGZYZ3LzB2s/view"&lt;&gt;""), HYPERLINK(" https://drive.google.com/file/d/1XFp3tZSMkWSkeLSHe_vrQjGZYZ3LzB2s/view", "Link"),"-")</f>
        <v>Link</v>
      </c>
      <c r="H46" s="10" t="s">
        <v>15</v>
      </c>
      <c r="K46" s="10" t="s">
        <v>15</v>
      </c>
      <c r="L46" s="10"/>
    </row>
    <row r="47" spans="1:12" x14ac:dyDescent="0.2">
      <c r="A47" s="12" t="s">
        <v>76</v>
      </c>
      <c r="B47" s="7" t="s">
        <v>14</v>
      </c>
      <c r="C47" s="8" t="s">
        <v>78</v>
      </c>
      <c r="D47" s="9" t="str">
        <f>IF(AND(ISTEXT("https://drive.google.com/file/d/1UhHHevE9iDmvSB_k_lhyI58KAj7hnB1o/view"),"https://drive.google.com/file/d/1UhHHevE9iDmvSB_k_lhyI58KAj7hnB1o/view"&lt;&gt;""), HYPERLINK("https://drive.google.com/file/d/1UhHHevE9iDmvSB_k_lhyI58KAj7hnB1o/view", "Link"),"-")</f>
        <v>Link</v>
      </c>
      <c r="H47" s="10" t="s">
        <v>15</v>
      </c>
      <c r="I47" s="10" t="s">
        <v>15</v>
      </c>
      <c r="K47" s="10" t="s">
        <v>15</v>
      </c>
      <c r="L47" s="10"/>
    </row>
    <row r="48" spans="1:12" x14ac:dyDescent="0.2">
      <c r="A48" s="12" t="s">
        <v>76</v>
      </c>
      <c r="B48" s="7" t="s">
        <v>14</v>
      </c>
      <c r="C48" s="8" t="s">
        <v>28</v>
      </c>
      <c r="D48" s="9" t="str">
        <f>IF(AND(ISTEXT("https://www.kaggle.com/datasets/bigquery/ethereum-blockchain/"),"https://www.kaggle.com/datasets/bigquery/ethereum-blockchain/"&lt;&gt;""), HYPERLINK("https://www.kaggle.com/datasets/bigquery/ethereum-blockchain/", "Link"),"-")</f>
        <v>Link</v>
      </c>
      <c r="I48" s="10" t="s">
        <v>15</v>
      </c>
      <c r="J48" s="10" t="s">
        <v>15</v>
      </c>
      <c r="K48" s="10" t="s">
        <v>15</v>
      </c>
      <c r="L48" s="10"/>
    </row>
    <row r="49" spans="1:12" x14ac:dyDescent="0.2">
      <c r="A49" s="12" t="s">
        <v>76</v>
      </c>
      <c r="B49" s="7" t="s">
        <v>14</v>
      </c>
      <c r="C49" s="8" t="s">
        <v>79</v>
      </c>
      <c r="D49" s="9" t="str">
        <f>IF(AND(ISTEXT("https://github.com/DependableSystemsLab/SolidiFI-benchmark/tree/master/buggy_contracts"),"https://github.com/DependableSystemsLab/SolidiFI-benchmark/tree/master/buggy_contracts"&lt;&gt;""), HYPERLINK("https://github.com/DependableSystemsLab/SolidiFI-benchmark/tree/master/buggy_contracts", "Link"),"-")</f>
        <v>Link</v>
      </c>
      <c r="G49" s="10" t="s">
        <v>15</v>
      </c>
      <c r="H49" s="10" t="s">
        <v>15</v>
      </c>
      <c r="K49" s="10"/>
      <c r="L49" s="10" t="s">
        <v>15</v>
      </c>
    </row>
    <row r="50" spans="1:12" x14ac:dyDescent="0.2">
      <c r="A50" s="12" t="s">
        <v>76</v>
      </c>
      <c r="B50" s="7" t="s">
        <v>80</v>
      </c>
      <c r="C50" s="8" t="s">
        <v>81</v>
      </c>
      <c r="D50" s="9" t="str">
        <f>IF(AND(ISTEXT("https://drive.google.com/file/d/1h9aFFSsL7mK4NmVJd4So7IJlFj9u0HRv/view"),"https://drive.google.com/file/d/1h9aFFSsL7mK4NmVJd4So7IJlFj9u0HRv/view"&lt;&gt;""), HYPERLINK("https://drive.google.com/file/d/1h9aFFSsL7mK4NmVJd4So7IJlFj9u0HRv/view", "Link"),"-")</f>
        <v>Link</v>
      </c>
      <c r="G50" s="10" t="s">
        <v>15</v>
      </c>
      <c r="H50" s="10" t="s">
        <v>15</v>
      </c>
      <c r="K50" s="13" t="s">
        <v>15</v>
      </c>
      <c r="L50" s="10"/>
    </row>
    <row r="51" spans="1:12" x14ac:dyDescent="0.2">
      <c r="A51" s="12" t="s">
        <v>76</v>
      </c>
      <c r="B51" s="7" t="s">
        <v>82</v>
      </c>
      <c r="C51" s="8" t="s">
        <v>83</v>
      </c>
      <c r="D51" s="9" t="str">
        <f>IF(AND(ISTEXT("https://goo.gl/UAUpK5/"),"https://goo.gl/UAUpK5/"&lt;&gt;""), HYPERLINK("https://goo.gl/UAUpK5/", "Link"),"-")</f>
        <v>Link</v>
      </c>
      <c r="E51" s="9">
        <v>21044</v>
      </c>
      <c r="J51" s="10" t="s">
        <v>15</v>
      </c>
      <c r="K51" s="13" t="s">
        <v>15</v>
      </c>
      <c r="L51" s="10"/>
    </row>
    <row r="52" spans="1:12" x14ac:dyDescent="0.2">
      <c r="A52" t="s">
        <v>76</v>
      </c>
      <c r="B52" t="s">
        <v>84</v>
      </c>
      <c r="C52" s="8" t="s">
        <v>85</v>
      </c>
      <c r="D52" s="9" t="str">
        <f>IF(AND(ISTEXT("https://github.com/wuhongjun15/Peculiar/blob/main/dataset.zip"),"https://github.com/wuhongjun15/Peculiar/blob/main/dataset.zip"&lt;&gt;""), HYPERLINK("https://github.com/wuhongjun15/Peculiar/blob/main/dataset.zip", "Link"),"-")</f>
        <v>Link</v>
      </c>
      <c r="E52" s="9">
        <v>40932</v>
      </c>
      <c r="F52" s="9">
        <v>40742</v>
      </c>
      <c r="G52" s="10" t="s">
        <v>15</v>
      </c>
      <c r="H52" s="10" t="s">
        <v>15</v>
      </c>
      <c r="J52" s="10" t="s">
        <v>15</v>
      </c>
      <c r="K52" s="13" t="s">
        <v>15</v>
      </c>
      <c r="L52" s="10"/>
    </row>
    <row r="53" spans="1:12" ht="16" x14ac:dyDescent="0.2">
      <c r="A53" t="s">
        <v>76</v>
      </c>
      <c r="B53" s="14" t="s">
        <v>86</v>
      </c>
      <c r="C53" s="8" t="s">
        <v>87</v>
      </c>
      <c r="D53" s="9" t="str">
        <f>IF(AND(ISTEXT("https://github.com/TechBeatle/EthereumSmartContractsDataset"),"https://github.com/TechBeatle/EthereumSmartContractsDataset"&lt;&gt;""), HYPERLINK("https://github.com/TechBeatle/EthereumSmartContractsDataset", "Link"),"-")</f>
        <v>Link</v>
      </c>
      <c r="E53" s="9">
        <v>3170</v>
      </c>
      <c r="F53" s="9">
        <v>3170</v>
      </c>
      <c r="J53" s="10" t="s">
        <v>15</v>
      </c>
      <c r="K53" s="13" t="s">
        <v>15</v>
      </c>
      <c r="L53" s="10"/>
    </row>
    <row r="54" spans="1:12" x14ac:dyDescent="0.2">
      <c r="A54" t="s">
        <v>76</v>
      </c>
      <c r="B54" s="7" t="s">
        <v>88</v>
      </c>
      <c r="C54" s="10" t="s">
        <v>89</v>
      </c>
      <c r="D54" s="9" t="str">
        <f t="shared" ref="D54:D63" si="1">IF(AND(ISTEXT(""),""&lt;&gt;""), HYPERLINK("", "Link"),"-")</f>
        <v>-</v>
      </c>
      <c r="E54" s="9">
        <v>500</v>
      </c>
      <c r="K54" s="10"/>
      <c r="L54" s="10"/>
    </row>
    <row r="55" spans="1:12" x14ac:dyDescent="0.2">
      <c r="A55" t="s">
        <v>76</v>
      </c>
      <c r="B55" s="7" t="s">
        <v>90</v>
      </c>
      <c r="C55" s="8" t="s">
        <v>91</v>
      </c>
      <c r="D55" s="9" t="str">
        <f t="shared" si="1"/>
        <v>-</v>
      </c>
      <c r="E55" s="9">
        <v>5000</v>
      </c>
      <c r="K55" s="10"/>
      <c r="L55" s="10"/>
    </row>
    <row r="56" spans="1:12" x14ac:dyDescent="0.2">
      <c r="A56" t="s">
        <v>76</v>
      </c>
      <c r="B56" s="11" t="s">
        <v>92</v>
      </c>
      <c r="C56" s="8" t="s">
        <v>93</v>
      </c>
      <c r="D56" s="9" t="str">
        <f t="shared" si="1"/>
        <v>-</v>
      </c>
      <c r="E56" s="9">
        <v>204</v>
      </c>
      <c r="K56" s="10"/>
      <c r="L56" s="10"/>
    </row>
    <row r="57" spans="1:12" x14ac:dyDescent="0.2">
      <c r="A57" t="s">
        <v>76</v>
      </c>
      <c r="B57" s="11" t="s">
        <v>92</v>
      </c>
      <c r="C57" s="8" t="s">
        <v>93</v>
      </c>
      <c r="D57" s="9" t="str">
        <f t="shared" si="1"/>
        <v>-</v>
      </c>
      <c r="E57" s="10">
        <v>395</v>
      </c>
      <c r="K57" s="10"/>
      <c r="L57" s="10"/>
    </row>
    <row r="58" spans="1:12" x14ac:dyDescent="0.2">
      <c r="A58" t="s">
        <v>76</v>
      </c>
      <c r="B58" s="11" t="s">
        <v>94</v>
      </c>
      <c r="C58" s="8" t="s">
        <v>95</v>
      </c>
      <c r="D58" s="9" t="str">
        <f t="shared" si="1"/>
        <v>-</v>
      </c>
      <c r="E58" s="9">
        <v>1000</v>
      </c>
      <c r="K58" s="10"/>
      <c r="L58" s="10"/>
    </row>
    <row r="59" spans="1:12" x14ac:dyDescent="0.2">
      <c r="A59" t="s">
        <v>76</v>
      </c>
      <c r="B59" s="7" t="s">
        <v>96</v>
      </c>
      <c r="C59" s="8" t="s">
        <v>97</v>
      </c>
      <c r="D59" s="9" t="str">
        <f t="shared" si="1"/>
        <v>-</v>
      </c>
      <c r="E59" s="9">
        <v>95152</v>
      </c>
      <c r="K59" s="10"/>
      <c r="L59" s="10"/>
    </row>
    <row r="60" spans="1:12" x14ac:dyDescent="0.2">
      <c r="A60" t="s">
        <v>76</v>
      </c>
      <c r="B60" s="7" t="s">
        <v>98</v>
      </c>
      <c r="C60" s="8" t="s">
        <v>99</v>
      </c>
      <c r="D60" s="9" t="str">
        <f t="shared" si="1"/>
        <v>-</v>
      </c>
      <c r="K60" s="10"/>
      <c r="L60" s="10"/>
    </row>
    <row r="61" spans="1:12" x14ac:dyDescent="0.2">
      <c r="A61" t="s">
        <v>76</v>
      </c>
      <c r="B61" s="7" t="s">
        <v>100</v>
      </c>
      <c r="C61" s="8" t="s">
        <v>101</v>
      </c>
      <c r="D61" s="9" t="str">
        <f t="shared" si="1"/>
        <v>-</v>
      </c>
      <c r="E61" s="9">
        <v>40932</v>
      </c>
      <c r="H61" s="10" t="s">
        <v>15</v>
      </c>
      <c r="K61" s="10"/>
      <c r="L61" s="10"/>
    </row>
    <row r="62" spans="1:12" ht="16" x14ac:dyDescent="0.2">
      <c r="A62" t="s">
        <v>76</v>
      </c>
      <c r="B62" s="15" t="s">
        <v>102</v>
      </c>
      <c r="C62" s="10" t="s">
        <v>103</v>
      </c>
      <c r="D62" s="9" t="str">
        <f t="shared" si="1"/>
        <v>-</v>
      </c>
      <c r="E62" s="9">
        <v>2000000</v>
      </c>
      <c r="I62" s="10" t="s">
        <v>15</v>
      </c>
      <c r="K62" s="10"/>
      <c r="L62" s="10"/>
    </row>
    <row r="63" spans="1:12" ht="16" x14ac:dyDescent="0.2">
      <c r="A63" t="s">
        <v>76</v>
      </c>
      <c r="B63" s="15" t="s">
        <v>104</v>
      </c>
      <c r="C63" s="10" t="s">
        <v>105</v>
      </c>
      <c r="D63" s="9" t="str">
        <f t="shared" si="1"/>
        <v>-</v>
      </c>
      <c r="E63" s="9">
        <v>675444</v>
      </c>
      <c r="H63" s="10" t="s">
        <v>15</v>
      </c>
      <c r="K63" s="10"/>
      <c r="L63" s="10"/>
    </row>
    <row r="64" spans="1:12" ht="16" x14ac:dyDescent="0.2">
      <c r="A64" t="s">
        <v>76</v>
      </c>
      <c r="B64" s="16" t="s">
        <v>106</v>
      </c>
      <c r="C64" s="8" t="s">
        <v>107</v>
      </c>
      <c r="D64" s="9" t="str">
        <f>IF(AND(ISTEXT("https://github.com/sjmini/icse2020-Solidity"),"https://github.com/sjmini/icse2020-Solidity"&lt;&gt;""), HYPERLINK("https://github.com/sjmini/icse2020-Solidity", "Link"),"-")</f>
        <v>Link</v>
      </c>
      <c r="E64" s="9">
        <v>55046</v>
      </c>
      <c r="H64" s="10" t="s">
        <v>15</v>
      </c>
      <c r="K64" s="10"/>
      <c r="L64" s="10"/>
    </row>
    <row r="65" spans="1:14" ht="16" x14ac:dyDescent="0.2">
      <c r="A65" t="s">
        <v>76</v>
      </c>
      <c r="B65" s="15" t="s">
        <v>108</v>
      </c>
      <c r="C65" s="10" t="s">
        <v>109</v>
      </c>
      <c r="D65" s="9" t="str">
        <f>IF(AND(ISTEXT(""),""&lt;&gt;""), HYPERLINK("", "Link"),"-")</f>
        <v>-</v>
      </c>
      <c r="E65" s="9">
        <v>4112</v>
      </c>
      <c r="H65" s="10" t="s">
        <v>15</v>
      </c>
      <c r="K65" s="10"/>
      <c r="L65" s="10"/>
    </row>
    <row r="66" spans="1:14" ht="16" x14ac:dyDescent="0.2">
      <c r="A66" t="s">
        <v>76</v>
      </c>
      <c r="B66" s="16" t="s">
        <v>110</v>
      </c>
      <c r="C66" s="10" t="s">
        <v>111</v>
      </c>
      <c r="D66" s="9" t="str">
        <f>IF(AND(ISTEXT(""),""&lt;&gt;""), HYPERLINK("", "Link"),"-")</f>
        <v>-</v>
      </c>
      <c r="E66" s="9">
        <v>13100</v>
      </c>
      <c r="F66" s="9">
        <v>12899</v>
      </c>
      <c r="H66" s="10" t="s">
        <v>15</v>
      </c>
      <c r="K66" s="10"/>
      <c r="L66" s="10"/>
    </row>
    <row r="67" spans="1:14" x14ac:dyDescent="0.2">
      <c r="A67" t="s">
        <v>76</v>
      </c>
      <c r="B67" s="7" t="s">
        <v>112</v>
      </c>
      <c r="C67" s="8" t="s">
        <v>113</v>
      </c>
      <c r="D67" s="9" t="str">
        <f>IF(AND(ISTEXT(""),""&lt;&gt;""), HYPERLINK("", "Link"),"-")</f>
        <v>-</v>
      </c>
      <c r="E67" s="9">
        <v>1000</v>
      </c>
      <c r="H67" s="10" t="s">
        <v>15</v>
      </c>
      <c r="K67" s="10"/>
      <c r="L67" s="10"/>
    </row>
    <row r="68" spans="1:14" x14ac:dyDescent="0.2">
      <c r="A68" t="s">
        <v>76</v>
      </c>
      <c r="B68" s="7" t="s">
        <v>114</v>
      </c>
      <c r="C68" s="8" t="s">
        <v>115</v>
      </c>
      <c r="D68" s="9" t="str">
        <f>IF(AND(ISTEXT("oolman-demo.readthedocs.io"),"toolman-demo.readthedocs.io"&lt;&gt;""), HYPERLINK("https://toolman-demo.readthedocs.io/en/latest/", "Link"),"-")</f>
        <v>Link</v>
      </c>
      <c r="E68" s="9">
        <v>11714</v>
      </c>
      <c r="G68" s="10" t="s">
        <v>15</v>
      </c>
      <c r="H68" s="10" t="s">
        <v>15</v>
      </c>
      <c r="J68" s="10" t="s">
        <v>15</v>
      </c>
      <c r="K68" s="13" t="s">
        <v>15</v>
      </c>
      <c r="L68" s="10"/>
    </row>
    <row r="69" spans="1:14" x14ac:dyDescent="0.2">
      <c r="A69" t="s">
        <v>76</v>
      </c>
      <c r="B69" s="7" t="s">
        <v>116</v>
      </c>
      <c r="C69" s="8" t="s">
        <v>117</v>
      </c>
      <c r="D69" s="9" t="str">
        <f>IF(AND(ISTEXT("https://github.com/smartbugs/smartbugs-wild"),"https://github.com/smartbugs/smartbugs-wild"&lt;&gt;""), HYPERLINK("https://github.com/smartbugs/smartbugs-wild", "Link"),"-")</f>
        <v>Link</v>
      </c>
      <c r="E69" s="9">
        <v>47518</v>
      </c>
      <c r="F69" s="9">
        <v>47398</v>
      </c>
      <c r="G69" s="10" t="s">
        <v>15</v>
      </c>
      <c r="H69" s="10" t="s">
        <v>15</v>
      </c>
      <c r="J69" s="10" t="s">
        <v>15</v>
      </c>
      <c r="K69" s="13" t="s">
        <v>15</v>
      </c>
      <c r="L69" s="17"/>
    </row>
    <row r="70" spans="1:14" x14ac:dyDescent="0.2">
      <c r="A70" t="s">
        <v>76</v>
      </c>
      <c r="B70" s="7" t="s">
        <v>118</v>
      </c>
      <c r="C70" s="8" t="s">
        <v>119</v>
      </c>
      <c r="D70" s="9" t="str">
        <f>IF(AND(ISTEXT("https://github.com/costa-group/EthIR/tree/master/examples/safevm/all"),"https://github.com/costa-group/EthIR/tree/master/examples/safevm/all"&lt;&gt;""), HYPERLINK("https://github.com/costa-group/EthIR/tree/master/examples/safevm/all", "Link"),"-")</f>
        <v>Link</v>
      </c>
      <c r="E70" s="9">
        <v>10796</v>
      </c>
      <c r="F70" s="9">
        <v>24294</v>
      </c>
      <c r="H70" s="10" t="s">
        <v>15</v>
      </c>
      <c r="J70" s="10" t="s">
        <v>15</v>
      </c>
      <c r="K70" s="13" t="s">
        <v>15</v>
      </c>
      <c r="L70" s="10"/>
    </row>
    <row r="71" spans="1:14" x14ac:dyDescent="0.2">
      <c r="A71" t="s">
        <v>76</v>
      </c>
      <c r="B71" s="7" t="s">
        <v>118</v>
      </c>
      <c r="C71" s="8" t="s">
        <v>120</v>
      </c>
      <c r="D71" s="9" t="str">
        <f>IF(AND(ISTEXT("https://github.com/costa-group/EthIR/tree/master/examples/safevm/subset0x00-0x01/original"),"https://github.com/costa-group/EthIR/tree/master/examples/safevm/subset0x00-0x01/original"&lt;&gt;""), HYPERLINK("https://github.com/costa-group/EthIR/tree/master/examples/safevm/subset0x00-0x01/original", "Link"),"-")</f>
        <v>Link</v>
      </c>
      <c r="E71" s="9">
        <v>29</v>
      </c>
      <c r="F71" s="9">
        <v>29</v>
      </c>
      <c r="H71" s="10" t="s">
        <v>15</v>
      </c>
      <c r="J71" s="10" t="s">
        <v>15</v>
      </c>
      <c r="K71" s="13" t="s">
        <v>15</v>
      </c>
      <c r="L71" s="10"/>
    </row>
    <row r="72" spans="1:14" x14ac:dyDescent="0.2">
      <c r="A72" t="s">
        <v>76</v>
      </c>
      <c r="B72" s="7" t="s">
        <v>121</v>
      </c>
      <c r="C72" s="8" t="s">
        <v>122</v>
      </c>
      <c r="D72" s="9" t="str">
        <f>IF(AND(ISTEXT(""),""&lt;&gt;""), HYPERLINK("", "Link"),"-")</f>
        <v>-</v>
      </c>
      <c r="E72" s="9">
        <v>4979625</v>
      </c>
      <c r="K72" s="10"/>
      <c r="L72" s="10"/>
    </row>
    <row r="73" spans="1:14" x14ac:dyDescent="0.2">
      <c r="A73" t="s">
        <v>76</v>
      </c>
      <c r="B73" s="7" t="s">
        <v>123</v>
      </c>
      <c r="C73" s="8" t="s">
        <v>124</v>
      </c>
      <c r="D73" s="9" t="str">
        <f>IF(AND(ISTEXT(""),""&lt;&gt;""), HYPERLINK("", "Link"),"-")</f>
        <v>-</v>
      </c>
      <c r="E73" s="9">
        <v>167698</v>
      </c>
      <c r="G73" s="10" t="s">
        <v>15</v>
      </c>
      <c r="K73" s="10"/>
      <c r="L73" s="10"/>
    </row>
    <row r="74" spans="1:14" x14ac:dyDescent="0.2">
      <c r="A74" t="s">
        <v>76</v>
      </c>
      <c r="B74" s="7" t="s">
        <v>125</v>
      </c>
      <c r="C74" s="10" t="s">
        <v>126</v>
      </c>
      <c r="D74" s="9" t="str">
        <f>IF(AND(ISTEXT(""),""&lt;&gt;""), HYPERLINK("", "Link"),"-")</f>
        <v>-</v>
      </c>
      <c r="E74" s="9">
        <v>4744</v>
      </c>
      <c r="F74" s="9">
        <v>2952</v>
      </c>
      <c r="K74" s="10"/>
      <c r="L74" s="10"/>
    </row>
    <row r="75" spans="1:14" x14ac:dyDescent="0.2">
      <c r="A75" s="12" t="s">
        <v>127</v>
      </c>
      <c r="B75" s="7" t="s">
        <v>128</v>
      </c>
      <c r="C75" s="8" t="s">
        <v>129</v>
      </c>
      <c r="D75" s="9" t="str">
        <f>IF(AND(ISTEXT("https://owncloud.tuwien.ac.at/index.php/s/qNq87OBHnyOuru2/download"),"https://owncloud.tuwien.ac.at/index.php/s/qNq87OBHnyOuru2/download"&lt;&gt;""), HYPERLINK("https://owncloud.tuwien.ac.at/index.php/s/qNq87OBHnyOuru2/download", "Link"),"-")</f>
        <v>Link</v>
      </c>
      <c r="E75" s="9">
        <v>720</v>
      </c>
      <c r="F75" s="9">
        <v>720</v>
      </c>
      <c r="I75" s="10" t="s">
        <v>15</v>
      </c>
      <c r="J75" s="10" t="s">
        <v>15</v>
      </c>
      <c r="K75" s="10"/>
      <c r="L75" s="10"/>
    </row>
    <row r="76" spans="1:14" ht="16" x14ac:dyDescent="0.2">
      <c r="A76" s="12" t="s">
        <v>127</v>
      </c>
      <c r="B76" s="16" t="s">
        <v>130</v>
      </c>
      <c r="C76" s="8" t="s">
        <v>131</v>
      </c>
      <c r="D76" s="9" t="str">
        <f>IF(AND(ISTEXT("https://drive.google.com/file/d/1xLssDxYWyKFCwS5HUrQaSex0uwJRSvDi/view"),"https://drive.google.com/file/d/1xLssDxYWyKFCwS5HUrQaSex0uwJRSvDi/view"&lt;&gt;""), HYPERLINK("https://drive.google.com/file/d/1xLssDxYWyKFCwS5HUrQaSex0uwJRSvDi/view", "Link"),"-")</f>
        <v>Link</v>
      </c>
      <c r="E76" s="9">
        <v>344</v>
      </c>
      <c r="F76" s="9">
        <v>344</v>
      </c>
      <c r="H76" s="10" t="s">
        <v>15</v>
      </c>
      <c r="J76" s="10" t="s">
        <v>15</v>
      </c>
      <c r="K76" s="10"/>
      <c r="L76" s="10"/>
    </row>
    <row r="77" spans="1:14" ht="16" x14ac:dyDescent="0.2">
      <c r="A77" s="12" t="s">
        <v>127</v>
      </c>
      <c r="B77" s="16" t="s">
        <v>116</v>
      </c>
      <c r="C77" s="8" t="s">
        <v>132</v>
      </c>
      <c r="D77" s="9" t="str">
        <f>IF(AND(ISTEXT("https://github.com/smartbugs/smartbugs-curated"),"https://github.com/smartbugs/smartbugs-curated"&lt;&gt;""), HYPERLINK("https://github.com/smartbugs/smartbugs-curated", "Link"),"-")</f>
        <v>Link</v>
      </c>
      <c r="E77" s="9">
        <v>143</v>
      </c>
      <c r="F77" s="9">
        <v>143</v>
      </c>
      <c r="H77" s="10" t="s">
        <v>15</v>
      </c>
      <c r="K77" s="13" t="s">
        <v>15</v>
      </c>
      <c r="L77" s="10"/>
    </row>
    <row r="78" spans="1:14" x14ac:dyDescent="0.2">
      <c r="A78" s="12" t="s">
        <v>14</v>
      </c>
      <c r="B78" s="12" t="s">
        <v>127</v>
      </c>
      <c r="C78" s="8" t="s">
        <v>14</v>
      </c>
      <c r="D78" s="9" t="str">
        <f>IF(AND(ISTEXT("https://github.com/gsalzer/cgt"),"https://github.com/gsalzer/cgt"&lt;&gt;""), HYPERLINK("https://github.com/gsalzer/cgt", "Link"),"-")</f>
        <v>Link</v>
      </c>
      <c r="E78" s="9">
        <v>4859</v>
      </c>
      <c r="F78" s="9">
        <v>4859</v>
      </c>
      <c r="H78" s="10" t="s">
        <v>15</v>
      </c>
      <c r="I78" s="10" t="s">
        <v>15</v>
      </c>
      <c r="J78" s="10" t="s">
        <v>15</v>
      </c>
      <c r="K78" s="13" t="s">
        <v>15</v>
      </c>
      <c r="L78" s="13" t="s">
        <v>15</v>
      </c>
    </row>
    <row r="79" spans="1:14" x14ac:dyDescent="0.2">
      <c r="A79" t="s">
        <v>14</v>
      </c>
      <c r="B79" s="7" t="s">
        <v>133</v>
      </c>
      <c r="C79" s="8" t="s">
        <v>134</v>
      </c>
      <c r="D79" s="9" t="str">
        <f>IF(AND(ISTEXT("https://github.com/s00ne/SmartConDetect?tab=readme-ov-file"),"https://github.com/s00ne/SmartConDetect?tab=readme-ov-file"&lt;&gt;""), HYPERLINK("https://github.com/s00ne/SmartConDetect?tab=readme-ov-file", "Link"),"-")</f>
        <v>Link</v>
      </c>
      <c r="E79" s="9">
        <v>10000</v>
      </c>
      <c r="H79" s="10" t="s">
        <v>15</v>
      </c>
      <c r="K79" s="13" t="s">
        <v>15</v>
      </c>
      <c r="L79" s="10"/>
    </row>
    <row r="80" spans="1:14" x14ac:dyDescent="0.2">
      <c r="A80" t="s">
        <v>14</v>
      </c>
      <c r="B80" s="7" t="s">
        <v>135</v>
      </c>
      <c r="C80" s="8" t="s">
        <v>14</v>
      </c>
      <c r="D80" s="9" t="str">
        <f>IF(AND(ISTEXT("https://github.com/StefanosChaliasos/sc-defi-security/tree/main/dataset"),"https://github.com/StefanosChaliasos/sc-defi-security/tree/main/dataset"&lt;&gt;""), HYPERLINK("https://github.com/StefanosChaliasos/sc-defi-security/tree/main/dataset", "Link"),"-")</f>
        <v>Link</v>
      </c>
      <c r="G80" s="10" t="s">
        <v>15</v>
      </c>
      <c r="H80" s="10" t="s">
        <v>15</v>
      </c>
      <c r="I80" s="10" t="s">
        <v>15</v>
      </c>
      <c r="J80" s="10" t="s">
        <v>15</v>
      </c>
      <c r="K80" s="10"/>
      <c r="L80" s="10"/>
      <c r="N80" s="18" t="s">
        <v>136</v>
      </c>
    </row>
    <row r="81" spans="1:12" x14ac:dyDescent="0.2">
      <c r="A81" t="s">
        <v>14</v>
      </c>
      <c r="B81" s="7" t="s">
        <v>137</v>
      </c>
      <c r="C81" s="8" t="s">
        <v>138</v>
      </c>
      <c r="D81" s="9" t="str">
        <f>IF(AND(ISTEXT("https://github.com/SmartContractTools/SmartFast/tree/main/Dataset1"),"https://github.com/SmartContractTools/SmartFast/tree/main/Dataset1"&lt;&gt;""), HYPERLINK("https://github.com/SmartContractTools/SmartFast/tree/main/Dataset1", "Link"),"-")</f>
        <v>Link</v>
      </c>
      <c r="E81" s="9">
        <v>149</v>
      </c>
      <c r="F81" s="9">
        <v>149</v>
      </c>
      <c r="G81" s="10" t="s">
        <v>15</v>
      </c>
      <c r="H81" s="10" t="s">
        <v>15</v>
      </c>
      <c r="K81" s="13" t="s">
        <v>15</v>
      </c>
      <c r="L81" s="10"/>
    </row>
    <row r="82" spans="1:12" x14ac:dyDescent="0.2">
      <c r="A82" t="s">
        <v>14</v>
      </c>
      <c r="B82" s="7" t="s">
        <v>137</v>
      </c>
      <c r="C82" s="8" t="s">
        <v>138</v>
      </c>
      <c r="D82" s="9" t="str">
        <f>IF(AND(ISTEXT("https://github.com/SmartContractTools/SmartFast/tree/main/Dataset2"),"https://github.com/SmartContractTools/SmartFast/tree/main/Dataset2"&lt;&gt;""), HYPERLINK("https://github.com/SmartContractTools/SmartFast/tree/main/Dataset2", "Link"),"-")</f>
        <v>Link</v>
      </c>
      <c r="E82" s="9">
        <v>13509</v>
      </c>
      <c r="F82" s="9">
        <v>13509</v>
      </c>
      <c r="G82" s="10" t="s">
        <v>15</v>
      </c>
      <c r="H82" s="10" t="s">
        <v>15</v>
      </c>
      <c r="J82" s="10" t="s">
        <v>15</v>
      </c>
      <c r="K82" s="13" t="s">
        <v>15</v>
      </c>
      <c r="L82" s="10"/>
    </row>
    <row r="83" spans="1:12" x14ac:dyDescent="0.2">
      <c r="A83" t="s">
        <v>14</v>
      </c>
      <c r="B83" s="7" t="s">
        <v>139</v>
      </c>
      <c r="C83" s="8" t="s">
        <v>140</v>
      </c>
      <c r="D83" s="9" t="str">
        <f>IF(AND(ISTEXT("https://github.com/MANDO-Project/ge-sc-transformer/tree/main/data"),"https://github.com/MANDO-Project/ge-sc-transformer/tree/main/data"&lt;&gt;""), HYPERLINK("https://github.com/MANDO-Project/ge-sc-transformer/tree/main/data", "Link"),"-")</f>
        <v>Link</v>
      </c>
      <c r="G83" s="10" t="s">
        <v>15</v>
      </c>
      <c r="H83" s="10" t="s">
        <v>15</v>
      </c>
      <c r="K83" s="13" t="s">
        <v>15</v>
      </c>
      <c r="L83" s="13" t="s">
        <v>15</v>
      </c>
    </row>
    <row r="84" spans="1:12" x14ac:dyDescent="0.2">
      <c r="A84" t="s">
        <v>14</v>
      </c>
      <c r="B84" s="7" t="s">
        <v>139</v>
      </c>
      <c r="C84" s="8" t="s">
        <v>140</v>
      </c>
      <c r="D84" s="9" t="str">
        <f>IF(AND(ISTEXT("https://github.com/MANDO-Project/ge-sc-transformer/tree/main/experiments/ge-sc-data/"),"https://github.com/MANDO-Project/ge-sc-transformer/tree/main/experiments/ge-sc-data/"&lt;&gt;""), HYPERLINK("https://github.com/MANDO-Project/ge-sc-transformer/tree/main/experiments/ge-sc-data/", "Link"),"-")</f>
        <v>Link</v>
      </c>
      <c r="G84" s="10" t="s">
        <v>15</v>
      </c>
      <c r="H84" s="10" t="s">
        <v>15</v>
      </c>
      <c r="I84" s="10" t="s">
        <v>15</v>
      </c>
      <c r="J84" s="10" t="s">
        <v>15</v>
      </c>
      <c r="K84" s="13"/>
      <c r="L84" s="10"/>
    </row>
    <row r="85" spans="1:12" x14ac:dyDescent="0.2">
      <c r="A85" t="s">
        <v>14</v>
      </c>
      <c r="B85" s="19" t="s">
        <v>141</v>
      </c>
      <c r="C85" s="8" t="s">
        <v>142</v>
      </c>
      <c r="D85" s="9" t="str">
        <f>IF(AND(ISTEXT("https://drive.google.com/file/d/1kizsz0_8B8nP4UNVr0gYjaj25VVZMO8C/edit"),"https://drive.google.com/file/d/1kizsz0_8B8nP4UNVr0gYjaj25VVZMO8C/edit"&lt;&gt;""), HYPERLINK("https://drive.google.com/file/d/1kizsz0_8B8nP4UNVr0gYjaj25VVZMO8C/edit", "Link"),"-")</f>
        <v>Link</v>
      </c>
      <c r="K85" s="10"/>
      <c r="L85" s="10"/>
    </row>
    <row r="86" spans="1:12" x14ac:dyDescent="0.2">
      <c r="A86" t="s">
        <v>14</v>
      </c>
      <c r="B86" s="11" t="s">
        <v>143</v>
      </c>
      <c r="C86" s="8" t="s">
        <v>144</v>
      </c>
      <c r="D86" s="9" t="str">
        <f>IF(AND(ISTEXT("https://github.com/COPELONG/MEVD"),"https://github.com/COPELONG/MEVD"&lt;&gt;""), HYPERLINK("https://github.com/COPELONG/MEVD", "Link"),"-")</f>
        <v>Link</v>
      </c>
      <c r="G86" s="10" t="s">
        <v>15</v>
      </c>
      <c r="H86" s="10" t="s">
        <v>15</v>
      </c>
      <c r="K86" s="10"/>
      <c r="L86" s="10"/>
    </row>
    <row r="87" spans="1:12" x14ac:dyDescent="0.2">
      <c r="A87" t="s">
        <v>14</v>
      </c>
      <c r="B87" s="7" t="s">
        <v>145</v>
      </c>
      <c r="C87" s="8" t="s">
        <v>146</v>
      </c>
      <c r="D87" s="9" t="str">
        <f>IF(AND(ISTEXT("https://github.com/Sheep-L/boke"),"https://github.com/Sheep-L/boke"&lt;&gt;""), HYPERLINK("https://github.com/Sheep-L/boke", "Link"),"-")</f>
        <v>Link</v>
      </c>
      <c r="K87" s="10"/>
      <c r="L87" s="10"/>
    </row>
    <row r="88" spans="1:12" x14ac:dyDescent="0.2">
      <c r="A88" t="s">
        <v>14</v>
      </c>
      <c r="B88" s="7" t="s">
        <v>147</v>
      </c>
      <c r="C88" s="8" t="s">
        <v>148</v>
      </c>
      <c r="D88" s="9" t="str">
        <f>IF(AND(ISTEXT("https://github.com/Messi-Q/RNVulDet/tree/main/dataset"),"https://github.com/Messi-Q/RNVulDet/tree/main/dataset"&lt;&gt;""), HYPERLINK("https://github.com/Messi-Q/RNVulDet/tree/main/dataset", "Link"),"-")</f>
        <v>Link</v>
      </c>
      <c r="J88" s="10" t="s">
        <v>15</v>
      </c>
      <c r="K88" s="10" t="s">
        <v>15</v>
      </c>
      <c r="L88" s="10"/>
    </row>
    <row r="89" spans="1:12" x14ac:dyDescent="0.2">
      <c r="A89" t="s">
        <v>14</v>
      </c>
      <c r="B89" s="7" t="s">
        <v>149</v>
      </c>
      <c r="C89" s="8" t="s">
        <v>150</v>
      </c>
      <c r="D89" s="9" t="str">
        <f>IF(AND(ISTEXT("https://github.com/InPlusLab/SmartState-dataset"),"https://github.com/InPlusLab/SmartState-dataset"&lt;&gt;""), HYPERLINK("https://github.com/InPlusLab/SmartState-dataset", "Link"),"-")</f>
        <v>Link</v>
      </c>
      <c r="H89" s="10" t="s">
        <v>15</v>
      </c>
      <c r="J89" s="10" t="s">
        <v>15</v>
      </c>
      <c r="K89" s="10" t="s">
        <v>15</v>
      </c>
      <c r="L89" s="10"/>
    </row>
    <row r="90" spans="1:12" x14ac:dyDescent="0.2">
      <c r="A90" t="s">
        <v>14</v>
      </c>
      <c r="B90" s="7" t="s">
        <v>151</v>
      </c>
      <c r="C90" s="8" t="s">
        <v>152</v>
      </c>
      <c r="D90" s="9" t="str">
        <f>IF(AND(ISTEXT("https://github.com/SoftSec-KAIST/Smartian-Artifact/tree/main/benchmarks"),"https://github.com/SoftSec-KAIST/Smartian-Artifact/tree/main/benchmarks"&lt;&gt;""), HYPERLINK("https://github.com/SoftSec-KAIST/Smartian-Artifact/tree/main/benchmarks", "Link"),"-")</f>
        <v>Link</v>
      </c>
      <c r="H90" s="10" t="s">
        <v>15</v>
      </c>
      <c r="I90" s="10" t="s">
        <v>15</v>
      </c>
      <c r="J90" s="10" t="s">
        <v>15</v>
      </c>
      <c r="K90" s="10" t="s">
        <v>15</v>
      </c>
      <c r="L90" s="10"/>
    </row>
    <row r="91" spans="1:12" x14ac:dyDescent="0.2">
      <c r="A91" t="s">
        <v>14</v>
      </c>
      <c r="B91" s="7" t="s">
        <v>153</v>
      </c>
      <c r="C91" s="8" t="s">
        <v>154</v>
      </c>
      <c r="D91" s="9" t="str">
        <f>IF(AND(ISTEXT("https://www.yorku.ca/research/bccc/ucs-technical/cybersecurity-datasets-cds/"),"https://www.yorku.ca/research/bccc/ucs-technical/cybersecurity-datasets-cds/"&lt;&gt;""), HYPERLINK("https://www.yorku.ca/research/bccc/ucs-technical/cybersecurity-datasets-cds/", "Link"),"-")</f>
        <v>Link</v>
      </c>
      <c r="H91" s="10" t="s">
        <v>15</v>
      </c>
      <c r="K91" s="10" t="s">
        <v>15</v>
      </c>
      <c r="L91" s="10"/>
    </row>
    <row r="92" spans="1:12" ht="15.75" customHeight="1" x14ac:dyDescent="0.2">
      <c r="A92" t="s">
        <v>14</v>
      </c>
      <c r="B92" s="11" t="s">
        <v>155</v>
      </c>
      <c r="C92" s="8" t="s">
        <v>156</v>
      </c>
      <c r="D92" s="9" t="str">
        <f>IF(AND(ISTEXT("https://github.com/yangzuwjl/MODNN"),"https://github.com/yangzuwjl/MODNN"&lt;&gt;""), HYPERLINK("https://github.com/yangzuwjl/MODNN", "Link"),"-")</f>
        <v>Link</v>
      </c>
      <c r="E92" s="9">
        <v>18796</v>
      </c>
      <c r="H92" s="10" t="s">
        <v>15</v>
      </c>
      <c r="K92" s="10"/>
      <c r="L92" s="10"/>
    </row>
    <row r="93" spans="1:12" ht="17" customHeight="1" x14ac:dyDescent="0.2">
      <c r="A93" t="s">
        <v>14</v>
      </c>
      <c r="B93" s="7" t="s">
        <v>157</v>
      </c>
      <c r="C93" s="8" t="s">
        <v>158</v>
      </c>
      <c r="D93" s="9" t="str">
        <f>IF(AND(ISTEXT("https://github.com/xf97/HuangGai/tree/master/injectedContractDataSet"),"https://github.com/xf97/HuangGai/tree/master/injectedContractDataSet"&lt;&gt;""), HYPERLINK("https://github.com/xf97/HuangGai/tree/master/injectedContractDataSet", "Link"),"-")</f>
        <v>Link</v>
      </c>
      <c r="H93" s="10" t="s">
        <v>15</v>
      </c>
      <c r="J93" s="10" t="s">
        <v>15</v>
      </c>
      <c r="K93" s="10"/>
      <c r="L93" s="10" t="s">
        <v>15</v>
      </c>
    </row>
    <row r="94" spans="1:12" ht="15.75" customHeight="1" x14ac:dyDescent="0.2">
      <c r="A94" t="s">
        <v>14</v>
      </c>
      <c r="B94" s="7" t="s">
        <v>157</v>
      </c>
      <c r="C94" s="8" t="s">
        <v>158</v>
      </c>
      <c r="D94" s="9" t="str">
        <f>IF(AND(ISTEXT("https://github.com/xf97/HuangGai/tree/master/manualCheckDataset"),"https://github.com/xf97/HuangGai/tree/master/manualCheckDataset"&lt;&gt;""), HYPERLINK("https://github.com/xf97/HuangGai/tree/master/manualCheckDataset", "Link"),"-")</f>
        <v>Link</v>
      </c>
      <c r="H94" s="10" t="s">
        <v>15</v>
      </c>
      <c r="J94" s="10" t="s">
        <v>15</v>
      </c>
      <c r="K94" s="10"/>
      <c r="L94" s="10" t="s">
        <v>15</v>
      </c>
    </row>
    <row r="95" spans="1:12" ht="15.75" customHeight="1" x14ac:dyDescent="0.2">
      <c r="A95" t="s">
        <v>14</v>
      </c>
      <c r="B95" s="7" t="s">
        <v>159</v>
      </c>
      <c r="C95" s="8" t="s">
        <v>160</v>
      </c>
      <c r="D95" s="9" t="str">
        <f>IF(AND(ISTEXT("https://github.com/1052445594/SoliDetector"),"https://github.com/1052445594/SoliDetector"&lt;&gt;""), HYPERLINK("https://github.com/1052445594/SoliDetector", "Link"),"-")</f>
        <v>Link</v>
      </c>
      <c r="H95" s="10" t="s">
        <v>15</v>
      </c>
      <c r="J95" s="10" t="s">
        <v>15</v>
      </c>
      <c r="K95" s="10" t="s">
        <v>15</v>
      </c>
      <c r="L95" s="10" t="s">
        <v>15</v>
      </c>
    </row>
    <row r="96" spans="1:12" x14ac:dyDescent="0.2">
      <c r="A96" t="s">
        <v>14</v>
      </c>
      <c r="B96" s="7" t="s">
        <v>161</v>
      </c>
      <c r="C96" s="8" t="s">
        <v>162</v>
      </c>
      <c r="D96" s="9" t="str">
        <f>IF(AND(ISTEXT("https://github.com/gasgauge/gasgauge.github.io/tree/main/Benchmark"),"https://github.com/gasgauge/gasgauge.github.io/tree/main/Benchmark"&lt;&gt;""), HYPERLINK("https://github.com/gasgauge/gasgauge.github.io/tree/main/Benchmark", "Link"),"-")</f>
        <v>Link</v>
      </c>
      <c r="F96" s="10"/>
      <c r="G96" s="10" t="s">
        <v>15</v>
      </c>
      <c r="H96" s="10" t="s">
        <v>15</v>
      </c>
      <c r="J96" s="10" t="s">
        <v>15</v>
      </c>
      <c r="K96" s="10"/>
      <c r="L96" s="10"/>
    </row>
    <row r="97" spans="1:14" x14ac:dyDescent="0.2">
      <c r="A97" t="s">
        <v>14</v>
      </c>
      <c r="B97" s="7" t="s">
        <v>163</v>
      </c>
      <c r="C97" s="8" t="s">
        <v>14</v>
      </c>
      <c r="D97" s="9" t="str">
        <f>IF(AND(ISTEXT("https://blog.sigmaprime.io/solidity-security.html#unchecked-calls-vuln"),"https://blog.sigmaprime.io/solidity-security.html#unchecked-calls-vuln"&lt;&gt;""), HYPERLINK("https://blog.sigmaprime.io/solidity-security.html#unchecked-calls-vuln", "Link"),"-")</f>
        <v>Link</v>
      </c>
      <c r="H97" s="10" t="s">
        <v>15</v>
      </c>
      <c r="K97" s="10" t="s">
        <v>15</v>
      </c>
      <c r="L97" s="10"/>
    </row>
    <row r="98" spans="1:14" x14ac:dyDescent="0.2">
      <c r="A98" t="s">
        <v>14</v>
      </c>
      <c r="B98" s="7" t="s">
        <v>164</v>
      </c>
      <c r="C98" s="8" t="s">
        <v>165</v>
      </c>
      <c r="D98" s="9" t="str">
        <f>IF(AND(ISTEXT("https://github.com/Messi-Q/Cross-Modality-Bug-Detection/tree/main/bytecode"),"https://github.com/Messi-Q/Cross-Modality-Bug-Detection/tree/main/bytecode"&lt;&gt;""), HYPERLINK("https://github.com/Messi-Q/Cross-Modality-Bug-Detection/tree/main/bytecode", "Link"),"-")</f>
        <v>Link</v>
      </c>
      <c r="I98" s="10" t="s">
        <v>15</v>
      </c>
      <c r="K98" s="10" t="s">
        <v>15</v>
      </c>
      <c r="L98" s="10"/>
    </row>
    <row r="99" spans="1:14" x14ac:dyDescent="0.2">
      <c r="A99" t="s">
        <v>14</v>
      </c>
      <c r="B99" s="7" t="s">
        <v>164</v>
      </c>
      <c r="C99" s="8" t="s">
        <v>165</v>
      </c>
      <c r="D99" s="9" t="str">
        <f>IF(AND(ISTEXT("https://github.com/Messi-Q/Cross-Modality-Bug-Detection/tree/main/sourcecode"),"https://github.com/Messi-Q/Cross-Modality-Bug-Detection/tree/main/sourcecode"&lt;&gt;""), HYPERLINK("https://github.com/Messi-Q/Cross-Modality-Bug-Detection/tree/main/sourcecode", "Link"),"-")</f>
        <v>Link</v>
      </c>
      <c r="H99" s="10" t="s">
        <v>15</v>
      </c>
      <c r="K99" s="10" t="s">
        <v>15</v>
      </c>
      <c r="L99" s="10"/>
    </row>
    <row r="100" spans="1:14" x14ac:dyDescent="0.2">
      <c r="A100" t="s">
        <v>14</v>
      </c>
      <c r="B100" s="7" t="s">
        <v>166</v>
      </c>
      <c r="C100" s="8" t="s">
        <v>167</v>
      </c>
      <c r="D100" s="9" t="str">
        <f>IF(AND(ISTEXT("https://github.com/SmartcontractTest/ConFuzzius-BI/tree/main/dataset/asset-related/realworld"),"https://github.com/SmartcontractTest/ConFuzzius-BI/tree/main/dataset/asset-related/realworld"&lt;&gt;""), HYPERLINK("https://github.com/SmartcontractTest/ConFuzzius-BI/tree/main/dataset/asset-related/realworld", "Link"),"-")</f>
        <v>Link</v>
      </c>
      <c r="E100" s="9">
        <v>43</v>
      </c>
      <c r="F100" s="9">
        <v>43</v>
      </c>
      <c r="H100" s="10" t="s">
        <v>15</v>
      </c>
      <c r="K100" s="10" t="s">
        <v>15</v>
      </c>
      <c r="L100" s="10"/>
    </row>
    <row r="101" spans="1:14" x14ac:dyDescent="0.2">
      <c r="A101" t="s">
        <v>14</v>
      </c>
      <c r="B101" s="7" t="s">
        <v>166</v>
      </c>
      <c r="C101" s="8" t="s">
        <v>167</v>
      </c>
      <c r="D101" s="9" t="str">
        <f>IF(AND(ISTEXT("https://github.com/SmartcontractTest/ConFuzzius-BI/tree/main/dataset/asset-related/manuinject/All"),"https://github.com/SmartcontractTest/ConFuzzius-BI/tree/main/dataset/asset-related/manuinject/All"&lt;&gt;""), HYPERLINK("https://github.com/SmartcontractTest/ConFuzzius-BI/tree/main/dataset/asset-related/manuinject/All", "Link"),"-")</f>
        <v>Link</v>
      </c>
      <c r="E101" s="9">
        <v>19</v>
      </c>
      <c r="F101" s="9">
        <v>19</v>
      </c>
      <c r="H101" s="10" t="s">
        <v>15</v>
      </c>
      <c r="J101" s="10" t="s">
        <v>15</v>
      </c>
      <c r="K101" s="10"/>
      <c r="L101" s="10" t="s">
        <v>15</v>
      </c>
    </row>
    <row r="102" spans="1:14" x14ac:dyDescent="0.2">
      <c r="A102" t="s">
        <v>14</v>
      </c>
      <c r="B102" s="7" t="s">
        <v>168</v>
      </c>
      <c r="C102" s="8" t="s">
        <v>14</v>
      </c>
      <c r="D102" s="9" t="str">
        <f>IF(AND(ISTEXT("https://github.com/WeiZ-boot/Smartcontract-benchmark"),"https://github.com/WeiZ-boot/Smartcontract-benchmark"&lt;&gt;""), HYPERLINK("https://github.com/WeiZ-boot/Smartcontract-benchmark", "Link"),"-")</f>
        <v>Link</v>
      </c>
      <c r="E102" s="9">
        <v>110</v>
      </c>
      <c r="F102" s="9">
        <v>110</v>
      </c>
      <c r="G102" s="10" t="s">
        <v>15</v>
      </c>
      <c r="H102" s="10" t="s">
        <v>15</v>
      </c>
      <c r="K102" s="10" t="s">
        <v>15</v>
      </c>
      <c r="L102" s="10" t="s">
        <v>15</v>
      </c>
    </row>
    <row r="103" spans="1:14" x14ac:dyDescent="0.2">
      <c r="A103" t="s">
        <v>14</v>
      </c>
      <c r="B103" s="11" t="s">
        <v>169</v>
      </c>
      <c r="C103" s="8" t="s">
        <v>14</v>
      </c>
      <c r="D103" s="9" t="str">
        <f>IF(AND(ISTEXT("https://github.com/gsalzer/skelcodes/tree/main"),"https://github.com/gsalzer/skelcodes/tree/main"&lt;&gt;""), HYPERLINK("https://github.com/gsalzer/skelcodes/tree/main", "Link"),"-")</f>
        <v>Link</v>
      </c>
      <c r="E103" s="9">
        <v>248328</v>
      </c>
      <c r="F103" s="9">
        <v>248328</v>
      </c>
      <c r="H103" s="10" t="s">
        <v>15</v>
      </c>
      <c r="I103" s="10" t="s">
        <v>15</v>
      </c>
      <c r="J103" s="10" t="s">
        <v>15</v>
      </c>
      <c r="K103" s="10" t="s">
        <v>15</v>
      </c>
      <c r="L103" s="10"/>
    </row>
    <row r="104" spans="1:14" ht="16" x14ac:dyDescent="0.25">
      <c r="B104" s="20" t="s">
        <v>170</v>
      </c>
      <c r="C104" s="10" t="s">
        <v>171</v>
      </c>
      <c r="D104" s="9" t="str">
        <f>IF(AND(ISTEXT("https://github.com/MetaTrustLabs/GPTScan-Top200"),"https://github.com/MetaTrustLabs/GPTScan-Top200"&lt;&gt;""), HYPERLINK("https://github.com/MetaTrustLabs/GPTScan-Top200", "Link"),"-")</f>
        <v>Link</v>
      </c>
      <c r="K104" s="10" t="s">
        <v>15</v>
      </c>
      <c r="L104" s="10"/>
      <c r="N104" t="s">
        <v>172</v>
      </c>
    </row>
    <row r="105" spans="1:14" ht="16" x14ac:dyDescent="0.25">
      <c r="B105" s="20" t="s">
        <v>170</v>
      </c>
      <c r="C105" s="10" t="s">
        <v>173</v>
      </c>
      <c r="D105" s="9" t="str">
        <f>IF(AND(ISTEXT("https://github.com/ZhangZhuoSJTU/Web3Bugs"),"https://github.com/ZhangZhuoSJTU/Web3Bugs"&lt;&gt;""), HYPERLINK("https://github.com/ZhangZhuoSJTU/Web3Bugs", "Link"),"-")</f>
        <v>Link</v>
      </c>
      <c r="K105" s="10" t="s">
        <v>15</v>
      </c>
      <c r="L105" s="10"/>
    </row>
    <row r="106" spans="1:14" ht="16" x14ac:dyDescent="0.25">
      <c r="B106" s="20" t="s">
        <v>170</v>
      </c>
      <c r="C106" s="10" t="s">
        <v>174</v>
      </c>
      <c r="D106" s="9" t="str">
        <f>IF(AND(ISTEXT("https://wooded-meter-1d8.notion.site/0e85e02c5ed34df3855ea9f3ca40f53b?v=22e5e2c506ef4caeb40b4f78e23517ee"),"https://wooded-meter-1d8.notion.site/0e85e02c5ed34df3855ea9f3ca40f53b?v=22e5e2c506ef4caeb40b4f78e23517ee"&lt;&gt;""), HYPERLINK("https://wooded-meter-1d8.notion.site/0e85e02c5ed34df3855ea9f3ca40f53b?v=22e5e2c506ef4caeb40b4f78e23517ee", "Link"),"-")</f>
        <v>Link</v>
      </c>
      <c r="E106" s="9">
        <v>101</v>
      </c>
      <c r="F106" s="9">
        <v>101</v>
      </c>
      <c r="G106" s="10" t="s">
        <v>15</v>
      </c>
      <c r="H106" s="10" t="s">
        <v>15</v>
      </c>
      <c r="J106" s="10" t="s">
        <v>15</v>
      </c>
      <c r="K106" s="10" t="s">
        <v>15</v>
      </c>
      <c r="L106" s="10"/>
    </row>
    <row r="107" spans="1:14" ht="16" x14ac:dyDescent="0.25">
      <c r="B107" s="21" t="s">
        <v>175</v>
      </c>
      <c r="C107" s="8" t="s">
        <v>176</v>
      </c>
      <c r="D107" s="9" t="str">
        <f>IF(AND(ISTEXT("https://figshare.com/articles/software/scvhunter/24566893/1?file=43154218"),"https://figshare.com/articles/software/scvhunter/24566893/1?file=43154218"&lt;&gt;""), HYPERLINK("https://figshare.com/articles/software/scvhunter/24566893/1?file=43154218", "Link"),"-")</f>
        <v>Link</v>
      </c>
      <c r="E107" s="9">
        <v>1200</v>
      </c>
      <c r="F107" s="9">
        <v>1200</v>
      </c>
      <c r="G107" s="10" t="s">
        <v>15</v>
      </c>
      <c r="H107" s="10" t="s">
        <v>15</v>
      </c>
      <c r="J107" s="10" t="s">
        <v>15</v>
      </c>
      <c r="K107" s="10"/>
      <c r="L107" s="10"/>
    </row>
    <row r="108" spans="1:14" x14ac:dyDescent="0.2">
      <c r="B108" s="22" t="s">
        <v>177</v>
      </c>
      <c r="C108" s="8" t="s">
        <v>178</v>
      </c>
      <c r="D108" s="9" t="str">
        <f>IF(AND(ISTEXT("https://rekt.news/"),"https://rekt.news/"&lt;&gt;""), HYPERLINK("https://rekt.news/", "Link"),"-")</f>
        <v>Link</v>
      </c>
      <c r="K108" s="10" t="s">
        <v>15</v>
      </c>
      <c r="L108" s="10"/>
    </row>
    <row r="109" spans="1:14" x14ac:dyDescent="0.2">
      <c r="B109" s="22" t="s">
        <v>177</v>
      </c>
      <c r="C109" s="8" t="s">
        <v>179</v>
      </c>
      <c r="D109" s="9" t="str">
        <f>IF(AND(ISTEXT("https://www.certik.com/"),"https://www.certik.com/"&lt;&gt;""), HYPERLINK("https://www.certik.com/", "Link"),"-")</f>
        <v>Link</v>
      </c>
      <c r="K109" s="10" t="s">
        <v>15</v>
      </c>
      <c r="L109" s="10"/>
    </row>
    <row r="110" spans="1:14" x14ac:dyDescent="0.2">
      <c r="B110" s="22" t="s">
        <v>177</v>
      </c>
      <c r="C110" s="8" t="s">
        <v>180</v>
      </c>
      <c r="D110" s="9" t="str">
        <f>IF(AND(ISTEXT("https://hacked.slowmist.io/"),"https://hacked.slowmist.io/"&lt;&gt;""), HYPERLINK("https://hacked.slowmist.io/", "Link"),"-")</f>
        <v>Link</v>
      </c>
      <c r="K110" s="10" t="s">
        <v>15</v>
      </c>
      <c r="L110" s="10"/>
    </row>
    <row r="111" spans="1:14" x14ac:dyDescent="0.2">
      <c r="B111" s="22"/>
      <c r="C111" s="8" t="s">
        <v>181</v>
      </c>
      <c r="D111" s="9" t="str">
        <f>IF(AND(ISTEXT("https://blocksecteam.medium.com/ "),"https://blocksecteam.medium.com/ "&lt;&gt;""), HYPERLINK("https://blocksecteam.medium.com/ ", "Link"),"-")</f>
        <v>Link</v>
      </c>
      <c r="K111" s="10" t="s">
        <v>15</v>
      </c>
      <c r="L111" s="10"/>
    </row>
    <row r="112" spans="1:14" x14ac:dyDescent="0.2">
      <c r="B112" s="22" t="s">
        <v>182</v>
      </c>
      <c r="C112" s="8" t="s">
        <v>183</v>
      </c>
      <c r="D112" s="9" t="str">
        <f>IF(AND(ISTEXT("https://figshare.com/articles/dataset/dataset/22313074 "),"https://figshare.com/articles/dataset/dataset/22313074 "&lt;&gt;""), HYPERLINK("https://figshare.com/articles/dataset/dataset/22313074 ", "Link"),"-")</f>
        <v>Link</v>
      </c>
      <c r="K112" s="10"/>
      <c r="L112" s="10"/>
    </row>
    <row r="113" spans="1:12" x14ac:dyDescent="0.2">
      <c r="B113" s="22" t="s">
        <v>184</v>
      </c>
      <c r="C113" s="8" t="s">
        <v>185</v>
      </c>
      <c r="D113" s="9" t="str">
        <f>IF(AND(ISTEXT("https://figshare.com/s/3f864a6e7c6245ad9704"),"https://figshare.com/s/3f864a6e7c6245ad9704"&lt;&gt;""), HYPERLINK("https://figshare.com/s/3f864a6e7c6245ad9704", "Link"),"-")</f>
        <v>Link</v>
      </c>
      <c r="G113" s="10" t="s">
        <v>15</v>
      </c>
      <c r="H113" s="10" t="s">
        <v>15</v>
      </c>
      <c r="K113" s="10" t="s">
        <v>15</v>
      </c>
      <c r="L113" s="10" t="s">
        <v>15</v>
      </c>
    </row>
    <row r="114" spans="1:12" x14ac:dyDescent="0.2">
      <c r="B114" s="22" t="s">
        <v>186</v>
      </c>
      <c r="C114" s="8" t="s">
        <v>187</v>
      </c>
      <c r="D114" s="9" t="str">
        <f>IF(AND(ISTEXT("https://github.com/CheWang09/LLM4SMAPR/tree/main/open_source_dataset "),"https://github.com/CheWang09/LLM4SMAPR/tree/main/open_source_dataset "&lt;&gt;""), HYPERLINK("https://github.com/CheWang09/LLM4SMAPR/tree/main/open_source_dataset ", "Link"),"-")</f>
        <v>Link</v>
      </c>
      <c r="K114" s="10"/>
      <c r="L114" s="10"/>
    </row>
    <row r="115" spans="1:12" x14ac:dyDescent="0.2">
      <c r="B115" s="22" t="s">
        <v>188</v>
      </c>
      <c r="C115" s="8" t="s">
        <v>189</v>
      </c>
      <c r="D115" s="9" t="str">
        <f>IF(AND(ISTEXT("https://github.com/mojtaba-eshghie/XploGen/tree/main/benchmarks/supported_tools/ExGen/benchmark "),"https://github.com/mojtaba-eshghie/XploGen/tree/main/benchmarks/supported_tools/ExGen/benchmark "&lt;&gt;""), HYPERLINK("https://github.com/mojtaba-eshghie/XploGen/tree/main/benchmarks/supported_tools/ExGen/benchmark ", "Link"),"-")</f>
        <v>Link</v>
      </c>
      <c r="G115" s="10" t="s">
        <v>15</v>
      </c>
      <c r="H115" s="10" t="s">
        <v>15</v>
      </c>
      <c r="K115" s="10"/>
      <c r="L115" s="10"/>
    </row>
    <row r="116" spans="1:12" x14ac:dyDescent="0.2">
      <c r="B116" s="22" t="s">
        <v>190</v>
      </c>
      <c r="C116" s="8" t="s">
        <v>191</v>
      </c>
      <c r="D116" s="9" t="str">
        <f>IF(AND(ISTEXT("https://zenodo.org/records/12671411 "),"https://zenodo.org/records/12671411 "&lt;&gt;""), HYPERLINK("https://zenodo.org/records/12671411 ", "Link"),"-")</f>
        <v>Link</v>
      </c>
      <c r="I116" s="10" t="s">
        <v>15</v>
      </c>
      <c r="K116" s="10" t="s">
        <v>15</v>
      </c>
      <c r="L116" s="10"/>
    </row>
    <row r="117" spans="1:12" x14ac:dyDescent="0.2">
      <c r="B117" s="22" t="s">
        <v>192</v>
      </c>
      <c r="C117" s="8" t="s">
        <v>193</v>
      </c>
      <c r="D117" s="9" t="str">
        <f>IF(AND(ISTEXT("https://github.com/BugmakerCC/SOChecker "),"https://github.com/BugmakerCC/SOChecker "&lt;&gt;""), HYPERLINK("https://github.com/BugmakerCC/SOChecker ", "Link"),"-")</f>
        <v>Link</v>
      </c>
      <c r="K117" s="10" t="s">
        <v>15</v>
      </c>
      <c r="L117" s="10"/>
    </row>
    <row r="118" spans="1:12" x14ac:dyDescent="0.2">
      <c r="B118" s="23" t="s">
        <v>194</v>
      </c>
      <c r="C118" s="8" t="s">
        <v>195</v>
      </c>
      <c r="D118" s="9" t="str">
        <f>IF(AND(ISTEXT("https://github.com/PonziDetection/SmartPonzi/tree/main/dataset"),"https://github.com/PonziDetection/SmartPonzi/tree/main/dataset"&lt;&gt;""), HYPERLINK("https://github.com/PonziDetection/SmartPonzi/tree/main/dataset", "Link"),"-")</f>
        <v>Link</v>
      </c>
      <c r="G118" s="10" t="s">
        <v>15</v>
      </c>
      <c r="H118" s="10" t="s">
        <v>15</v>
      </c>
      <c r="K118" s="10" t="s">
        <v>15</v>
      </c>
      <c r="L118" s="10"/>
    </row>
    <row r="119" spans="1:12" x14ac:dyDescent="0.2">
      <c r="B119" s="22" t="s">
        <v>196</v>
      </c>
      <c r="C119" s="8" t="s">
        <v>197</v>
      </c>
      <c r="D119" s="9" t="str">
        <f>IF(AND(ISTEXT("https://github.com/Anonymous123xx/RLRep"),"https://github.com/Anonymous123xx/RLRep"&lt;&gt;""), HYPERLINK("https://github.com/Anonymous123xx/RLRep", "Link"),"-")</f>
        <v>Link</v>
      </c>
      <c r="G119" s="10" t="s">
        <v>15</v>
      </c>
      <c r="H119" s="10" t="s">
        <v>15</v>
      </c>
      <c r="K119" s="10" t="s">
        <v>15</v>
      </c>
      <c r="L119" s="10" t="s">
        <v>15</v>
      </c>
    </row>
    <row r="120" spans="1:12" x14ac:dyDescent="0.2">
      <c r="B120" s="22" t="s">
        <v>198</v>
      </c>
      <c r="C120" s="8" t="s">
        <v>199</v>
      </c>
      <c r="D120" s="9" t="str">
        <f>IF(AND(ISTEXT("https://github.com/Franklinliu/InvConPlus-Tool/tree/main"),"https://github.com/Franklinliu/InvConPlus-Tool/tree/main"&lt;&gt;""), HYPERLINK("https://github.com/Franklinliu/InvConPlus-Tool/tree/main", "Link"),"-")</f>
        <v>Link</v>
      </c>
      <c r="G120" s="10" t="s">
        <v>15</v>
      </c>
      <c r="H120" s="10" t="s">
        <v>15</v>
      </c>
      <c r="K120" s="10"/>
      <c r="L120" s="10"/>
    </row>
    <row r="121" spans="1:12" x14ac:dyDescent="0.2">
      <c r="A121" t="str">
        <f>[1]Papers!$T$134</f>
        <v>wu2024we</v>
      </c>
      <c r="B121" s="7" t="s">
        <v>200</v>
      </c>
      <c r="C121" s="8" t="s">
        <v>14</v>
      </c>
      <c r="D121" s="9" t="str">
        <f>IF(AND(ISTEXT("https://github.com/renardbebe/Smart-Contract-Benchmark-Suites"),"https://github.com/renardbebe/Smart-Contract-Benchmark-Suites"&lt;&gt;""), HYPERLINK("https://github.com/renardbebe/Smart-Contract-Benchmark-Suites", "Link"),"-")</f>
        <v>Link</v>
      </c>
      <c r="E121" s="9">
        <v>46186</v>
      </c>
      <c r="H121" s="10" t="s">
        <v>15</v>
      </c>
      <c r="K121" s="10" t="s">
        <v>15</v>
      </c>
      <c r="L121" s="10" t="s">
        <v>15</v>
      </c>
    </row>
    <row r="122" spans="1:12" x14ac:dyDescent="0.2">
      <c r="B122" s="7" t="s">
        <v>201</v>
      </c>
      <c r="C122" s="8" t="s">
        <v>202</v>
      </c>
      <c r="D122" s="9" t="str">
        <f>IF(AND(ISTEXT("https://github.com/christoftorres/ConFuzzius/tree/master/dataset/etherscan"),"https://github.com/christoftorres/ConFuzzius/tree/master/dataset/etherscan"&lt;&gt;""), HYPERLINK("https://github.com/christoftorres/ConFuzzius/tree/master/dataset/etherscan", "Link"),"-")</f>
        <v>Link</v>
      </c>
      <c r="E122" s="9">
        <v>21000</v>
      </c>
      <c r="H122" s="10" t="s">
        <v>15</v>
      </c>
      <c r="K122" s="10" t="s">
        <v>15</v>
      </c>
      <c r="L122" s="10"/>
    </row>
    <row r="123" spans="1:12" x14ac:dyDescent="0.2">
      <c r="B123" s="7" t="s">
        <v>201</v>
      </c>
      <c r="C123" s="8" t="s">
        <v>202</v>
      </c>
      <c r="D123" s="9" t="str">
        <f>IF(AND(ISTEXT("https://github.com/christoftorres/ConFuzzius/tree/master/dataset/curated"),"https://github.com/christoftorres/ConFuzzius/tree/master/dataset/curated"&lt;&gt;""), HYPERLINK("https://github.com/christoftorres/ConFuzzius/tree/master/dataset/curated", "Link"),"-")</f>
        <v>Link</v>
      </c>
      <c r="E123" s="9">
        <v>128</v>
      </c>
      <c r="H123" s="10" t="s">
        <v>15</v>
      </c>
      <c r="K123" s="10" t="s">
        <v>15</v>
      </c>
      <c r="L123" s="10"/>
    </row>
    <row r="124" spans="1:12" x14ac:dyDescent="0.2">
      <c r="B124" t="s">
        <v>203</v>
      </c>
      <c r="C124" s="8" t="s">
        <v>204</v>
      </c>
      <c r="D124" s="9" t="str">
        <f>IF(AND(ISTEXT("https://github.com/InPlusLab/ReentrancyStudy-Data"),"https://github.com/InPlusLab/ReentrancyStudy-Data"&lt;&gt;""), HYPERLINK("https://github.com/InPlusLab/ReentrancyStudy-Data", "Link"),"-")</f>
        <v>Link</v>
      </c>
      <c r="E124" s="9">
        <v>34</v>
      </c>
      <c r="G124" s="10" t="s">
        <v>15</v>
      </c>
      <c r="H124" s="10" t="s">
        <v>15</v>
      </c>
      <c r="J124" s="10" t="s">
        <v>15</v>
      </c>
      <c r="K124" s="10" t="s">
        <v>15</v>
      </c>
      <c r="L124" s="10"/>
    </row>
    <row r="125" spans="1:12" x14ac:dyDescent="0.2">
      <c r="B125" t="s">
        <v>205</v>
      </c>
      <c r="C125" s="8" t="s">
        <v>206</v>
      </c>
      <c r="D125" s="9" t="str">
        <f>IF(AND(ISTEXT("https://code4rena.com/"),"https://code4rena.com/"&lt;&gt;""), HYPERLINK("https://code4rena.com/", "Link"),"-")</f>
        <v>Link</v>
      </c>
      <c r="K125" s="10" t="s">
        <v>15</v>
      </c>
      <c r="L125" s="10"/>
    </row>
    <row r="126" spans="1:12" x14ac:dyDescent="0.2">
      <c r="B126" t="s">
        <v>207</v>
      </c>
      <c r="C126" s="8" t="s">
        <v>208</v>
      </c>
      <c r="D126" s="9" t="str">
        <f>IF(AND(ISTEXT("https://github.com/InPlusLab/FSE24-SmartAxe"),"https://github.com/InPlusLab/FSE24-SmartAxe"&lt;&gt;""), HYPERLINK("https://github.com/InPlusLab/FSE24-SmartAxe", "Link"),"-")</f>
        <v>Link</v>
      </c>
      <c r="F126" s="10"/>
      <c r="H126" s="10" t="s">
        <v>15</v>
      </c>
      <c r="I126" s="10" t="s">
        <v>15</v>
      </c>
      <c r="K126" s="10" t="s">
        <v>15</v>
      </c>
      <c r="L126" s="10"/>
    </row>
    <row r="127" spans="1:12" x14ac:dyDescent="0.2">
      <c r="B127" t="s">
        <v>209</v>
      </c>
      <c r="C127" s="8" t="s">
        <v>210</v>
      </c>
      <c r="D127" s="9" t="str">
        <f>IF(AND(ISTEXT("https://www.yorku.ca/research/bccc/ucs-technical/cybersecurity-datasets-cds/"),"https://www.yorku.ca/research/bccc/ucs-technical/cybersecurity-datasets-cds/"&lt;&gt;""), HYPERLINK("https://www.yorku.ca/research/bccc/ucs-technical/cybersecurity-datasets-cds/", "Link"),"-")</f>
        <v>Link</v>
      </c>
      <c r="H127" s="10" t="s">
        <v>15</v>
      </c>
      <c r="K127" s="10" t="s">
        <v>15</v>
      </c>
      <c r="L127" s="10"/>
    </row>
    <row r="128" spans="1:12" x14ac:dyDescent="0.2">
      <c r="B128" t="s">
        <v>211</v>
      </c>
      <c r="C128" s="8" t="s">
        <v>212</v>
      </c>
      <c r="D128" s="9" t="str">
        <f>IF(AND(ISTEXT("https://drive.google.com/file/d/1h_XYXcKqfKuN7ArsXDwFq52V_mH3GQ5w/view "),"https://drive.google.com/file/d/1h_XYXcKqfKuN7ArsXDwFq52V_mH3GQ5w/view "&lt;&gt;""), HYPERLINK("https://drive.google.com/file/d/1h_XYXcKqfKuN7ArsXDwFq52V_mH3GQ5w/view ", "Link"),"-")</f>
        <v>Link</v>
      </c>
      <c r="H128" s="10" t="s">
        <v>15</v>
      </c>
      <c r="K128" s="10"/>
      <c r="L128" s="10"/>
    </row>
    <row r="129" spans="2:12" x14ac:dyDescent="0.2">
      <c r="B129" s="22" t="s">
        <v>213</v>
      </c>
      <c r="C129" s="8" t="s">
        <v>214</v>
      </c>
      <c r="D129" s="9" t="str">
        <f>IF(AND(ISTEXT("https://github.com/Wang-Yi-chen/ContractGNN "),"https://github.com/Wang-Yi-chen/ContractGNN "&lt;&gt;""), HYPERLINK("https://github.com/Wang-Yi-chen/ContractGNN ", "Link"),"-")</f>
        <v>Link</v>
      </c>
      <c r="K129" s="10" t="s">
        <v>15</v>
      </c>
      <c r="L129" s="10"/>
    </row>
    <row r="130" spans="2:12" x14ac:dyDescent="0.2">
      <c r="B130" t="s">
        <v>215</v>
      </c>
      <c r="C130" s="8" t="s">
        <v>216</v>
      </c>
      <c r="D130" s="9" t="str">
        <f>IF(AND(ISTEXT("https://github.com/Tourneso/DeepFusion "),"https://github.com/Tourneso/DeepFusion "&lt;&gt;""), HYPERLINK("https://github.com/Tourneso/DeepFusion ", "Link"),"-")</f>
        <v>Link</v>
      </c>
      <c r="K130" s="10"/>
      <c r="L130" s="10"/>
    </row>
    <row r="131" spans="2:12" x14ac:dyDescent="0.2">
      <c r="B131" s="23" t="s">
        <v>217</v>
      </c>
      <c r="D131" s="9" t="str">
        <f>IF(AND(ISTEXT("https://sites.google.com/view/sc-sast-study-fse2024/benchmark-construction "),"https://sites.google.com/view/sc-sast-study-fse2024/benchmark-construction "&lt;&gt;""), HYPERLINK("https://sites.google.com/view/sc-sast-study-fse2024/benchmark-construction ", "Link"),"-")</f>
        <v>Link</v>
      </c>
      <c r="E131" s="9">
        <v>788</v>
      </c>
      <c r="F131" s="9">
        <v>788</v>
      </c>
      <c r="H131" s="10" t="s">
        <v>15</v>
      </c>
      <c r="K131" s="10" t="s">
        <v>15</v>
      </c>
      <c r="L131" s="10" t="s">
        <v>15</v>
      </c>
    </row>
    <row r="132" spans="2:12" x14ac:dyDescent="0.2">
      <c r="B132" t="s">
        <v>218</v>
      </c>
      <c r="C132" s="8" t="s">
        <v>219</v>
      </c>
      <c r="D132" s="9" t="str">
        <f>IF(AND(ISTEXT("https://github.com/InPlusLab/DAppSCAN/tree/main/DAppSCAN-source"),"https://github.com/InPlusLab/DAppSCAN/tree/main/DAppSCAN-source"&lt;&gt;""), HYPERLINK("https://github.com/InPlusLab/DAppSCAN/tree/main/DAppSCAN-source", "Link"),"-")</f>
        <v>Link</v>
      </c>
      <c r="E132" s="9">
        <v>21457</v>
      </c>
      <c r="F132" s="9">
        <v>21457</v>
      </c>
      <c r="G132" s="10" t="s">
        <v>15</v>
      </c>
      <c r="H132" s="10" t="s">
        <v>15</v>
      </c>
      <c r="K132" s="10" t="s">
        <v>15</v>
      </c>
      <c r="L132" s="10"/>
    </row>
    <row r="133" spans="2:12" x14ac:dyDescent="0.2">
      <c r="B133" t="s">
        <v>218</v>
      </c>
      <c r="C133" s="8" t="s">
        <v>220</v>
      </c>
      <c r="D133" s="9" t="str">
        <f>IF(AND(ISTEXT("https://github.com/InPlusLab/DAppSCAN/tree/main/DAppSCAN-bytecode"),"https://github.com/InPlusLab/DAppSCAN/tree/main/DAppSCAN-bytecode"&lt;&gt;""), HYPERLINK("https://github.com/InPlusLab/DAppSCAN/tree/main/DAppSCAN-bytecode", "Link"),"-")</f>
        <v>Link</v>
      </c>
      <c r="E133" s="9">
        <v>21457</v>
      </c>
      <c r="F133" s="9">
        <v>21457</v>
      </c>
      <c r="G133" s="10" t="s">
        <v>15</v>
      </c>
      <c r="I133" s="10" t="s">
        <v>15</v>
      </c>
      <c r="K133" s="10" t="s">
        <v>15</v>
      </c>
      <c r="L133" s="10"/>
    </row>
    <row r="135" spans="2:12" x14ac:dyDescent="0.2">
      <c r="B135" s="7" t="s">
        <v>221</v>
      </c>
      <c r="C135" s="8" t="s">
        <v>222</v>
      </c>
      <c r="D135" s="8" t="s">
        <v>223</v>
      </c>
    </row>
    <row r="136" spans="2:12" x14ac:dyDescent="0.2">
      <c r="B136" s="7" t="s">
        <v>221</v>
      </c>
      <c r="C136" s="8" t="s">
        <v>224</v>
      </c>
      <c r="D136" s="8" t="s">
        <v>225</v>
      </c>
    </row>
    <row r="137" spans="2:12" x14ac:dyDescent="0.2">
      <c r="B137" s="7" t="s">
        <v>221</v>
      </c>
      <c r="C137" s="24" t="s">
        <v>226</v>
      </c>
      <c r="D137" s="8" t="s">
        <v>227</v>
      </c>
    </row>
    <row r="138" spans="2:12" x14ac:dyDescent="0.2">
      <c r="D138" s="8" t="s">
        <v>228</v>
      </c>
    </row>
  </sheetData>
  <conditionalFormatting sqref="B147:B1048576 B134:B145">
    <cfRule type="duplicateValues" dxfId="20" priority="7"/>
  </conditionalFormatting>
  <conditionalFormatting sqref="B138:C145 B147:C1048576 C146 B134:C136 B137">
    <cfRule type="duplicateValues" dxfId="19" priority="4"/>
  </conditionalFormatting>
  <conditionalFormatting sqref="C134:C136 C138:C1048576">
    <cfRule type="duplicateValues" dxfId="18" priority="6"/>
  </conditionalFormatting>
  <conditionalFormatting sqref="D134:D1048576">
    <cfRule type="duplicateValues" dxfId="17" priority="2"/>
  </conditionalFormatting>
  <conditionalFormatting sqref="E134:E1048576">
    <cfRule type="duplicateValues" dxfId="16" priority="1"/>
    <cfRule type="duplicateValues" dxfId="15" priority="3"/>
    <cfRule type="duplicateValues" dxfId="14" priority="5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RQ4_Dataset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IULIANO</dc:creator>
  <cp:lastModifiedBy>Gerardo IULIANO</cp:lastModifiedBy>
  <dcterms:created xsi:type="dcterms:W3CDTF">2025-11-12T16:53:15Z</dcterms:created>
  <dcterms:modified xsi:type="dcterms:W3CDTF">2025-11-12T16:53:34Z</dcterms:modified>
</cp:coreProperties>
</file>