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gerardo/Desktop/SLR-Ethereum/Results/"/>
    </mc:Choice>
  </mc:AlternateContent>
  <xr:revisionPtr revIDLastSave="0" documentId="8_{E49CDAE3-F5D7-9642-9B17-83E8C7D8BA93}" xr6:coauthVersionLast="47" xr6:coauthVersionMax="47" xr10:uidLastSave="{00000000-0000-0000-0000-000000000000}"/>
  <bookViews>
    <workbookView xWindow="780" yWindow="1000" windowWidth="27640" windowHeight="15220" xr2:uid="{68113853-B8F8-864D-BCCE-E1F2B57EA41E}"/>
  </bookViews>
  <sheets>
    <sheet name="RQ2_Tools" sheetId="1" r:id="rId1"/>
  </sheets>
  <definedNames>
    <definedName name="_xlnm._FilterDatabase" localSheetId="0" hidden="1">RQ2_Tools!$K$4:$AN$222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3" i="1" l="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O148" i="1"/>
  <c r="F148" i="1"/>
  <c r="O147" i="1"/>
  <c r="F147" i="1"/>
  <c r="O146" i="1"/>
  <c r="F146" i="1"/>
  <c r="O145" i="1"/>
  <c r="F145" i="1"/>
  <c r="O144" i="1"/>
  <c r="F144" i="1"/>
  <c r="O143" i="1"/>
  <c r="F143" i="1"/>
  <c r="O142" i="1"/>
  <c r="F142" i="1"/>
  <c r="O141" i="1"/>
  <c r="F141" i="1"/>
  <c r="O140" i="1"/>
  <c r="F140" i="1"/>
  <c r="O139" i="1"/>
  <c r="F139" i="1"/>
  <c r="O138" i="1"/>
  <c r="F138" i="1"/>
  <c r="O137" i="1"/>
  <c r="F137" i="1"/>
  <c r="O136" i="1"/>
  <c r="F136" i="1"/>
  <c r="O135" i="1"/>
  <c r="F135" i="1"/>
  <c r="O134" i="1"/>
  <c r="F134" i="1"/>
  <c r="O133" i="1"/>
  <c r="F133" i="1"/>
  <c r="O132" i="1"/>
  <c r="F132" i="1"/>
  <c r="O131" i="1"/>
  <c r="F131" i="1"/>
  <c r="O130" i="1"/>
  <c r="F130" i="1"/>
  <c r="O129" i="1"/>
  <c r="F129" i="1"/>
  <c r="O128" i="1"/>
  <c r="F128" i="1"/>
  <c r="O127" i="1"/>
  <c r="F127" i="1"/>
  <c r="O126" i="1"/>
  <c r="F126" i="1"/>
  <c r="O125" i="1"/>
  <c r="F125" i="1"/>
  <c r="O124" i="1"/>
  <c r="F124" i="1"/>
  <c r="O123" i="1"/>
  <c r="F123" i="1"/>
  <c r="O122" i="1"/>
  <c r="F122" i="1"/>
  <c r="O121" i="1"/>
  <c r="F121" i="1"/>
  <c r="O120" i="1"/>
  <c r="F120" i="1"/>
  <c r="O119" i="1"/>
  <c r="F119" i="1"/>
  <c r="O118" i="1"/>
  <c r="F118" i="1"/>
  <c r="O117" i="1"/>
  <c r="F117" i="1"/>
  <c r="O116" i="1"/>
  <c r="F116" i="1"/>
  <c r="O115" i="1"/>
  <c r="F115" i="1"/>
  <c r="O114" i="1"/>
  <c r="F114" i="1"/>
  <c r="O113" i="1"/>
  <c r="F113" i="1"/>
  <c r="O112" i="1"/>
  <c r="F112" i="1"/>
  <c r="O111" i="1"/>
  <c r="F111" i="1"/>
  <c r="O110" i="1"/>
  <c r="F110" i="1"/>
  <c r="O109" i="1"/>
  <c r="F109" i="1"/>
  <c r="O108" i="1"/>
  <c r="F108" i="1"/>
  <c r="O107" i="1"/>
  <c r="F107" i="1"/>
  <c r="O106" i="1"/>
  <c r="F106" i="1"/>
  <c r="O105" i="1"/>
  <c r="F105" i="1"/>
  <c r="O104" i="1"/>
  <c r="F104" i="1"/>
  <c r="O103" i="1"/>
  <c r="F103" i="1"/>
  <c r="O102" i="1"/>
  <c r="F102" i="1"/>
  <c r="O101" i="1"/>
  <c r="F101" i="1"/>
  <c r="O100" i="1"/>
  <c r="F100" i="1"/>
  <c r="O99" i="1"/>
  <c r="F99" i="1"/>
  <c r="O98" i="1"/>
  <c r="F98" i="1"/>
  <c r="O97" i="1"/>
  <c r="F97" i="1"/>
  <c r="O96" i="1"/>
  <c r="F96" i="1"/>
  <c r="O95" i="1"/>
  <c r="F95" i="1"/>
  <c r="O94" i="1"/>
  <c r="F94" i="1"/>
  <c r="O93" i="1"/>
  <c r="F93" i="1"/>
  <c r="O92" i="1"/>
  <c r="F92" i="1"/>
  <c r="O91" i="1"/>
  <c r="F91" i="1"/>
  <c r="O90" i="1"/>
  <c r="F90" i="1"/>
  <c r="O89" i="1"/>
  <c r="F89" i="1"/>
  <c r="O88" i="1"/>
  <c r="F88" i="1"/>
  <c r="O87" i="1"/>
  <c r="F87" i="1"/>
  <c r="O86" i="1"/>
  <c r="F86" i="1"/>
  <c r="O85" i="1"/>
  <c r="F85" i="1"/>
  <c r="O84" i="1"/>
  <c r="F84" i="1"/>
  <c r="O83" i="1"/>
  <c r="F83" i="1"/>
  <c r="O82" i="1"/>
  <c r="F82" i="1"/>
  <c r="O81" i="1"/>
  <c r="F81" i="1"/>
  <c r="O80" i="1"/>
  <c r="F80" i="1"/>
  <c r="O79" i="1"/>
  <c r="F79" i="1"/>
  <c r="O78" i="1"/>
  <c r="F78" i="1"/>
  <c r="O77" i="1"/>
  <c r="F77" i="1"/>
  <c r="O76" i="1"/>
  <c r="F76" i="1"/>
  <c r="O75" i="1"/>
  <c r="F75" i="1"/>
  <c r="O74" i="1"/>
  <c r="F74" i="1"/>
  <c r="O73" i="1"/>
  <c r="F73" i="1"/>
  <c r="O72" i="1"/>
  <c r="F72" i="1"/>
  <c r="O71" i="1"/>
  <c r="F71" i="1"/>
  <c r="O70" i="1"/>
  <c r="F70" i="1"/>
  <c r="O69" i="1"/>
  <c r="F69" i="1"/>
  <c r="O68" i="1"/>
  <c r="F68" i="1"/>
  <c r="O67" i="1"/>
  <c r="F67" i="1"/>
  <c r="O66" i="1"/>
  <c r="F66" i="1"/>
  <c r="O65" i="1"/>
  <c r="F65" i="1"/>
  <c r="O64" i="1"/>
  <c r="F64" i="1"/>
  <c r="O63" i="1"/>
  <c r="F63" i="1"/>
  <c r="O62" i="1"/>
  <c r="F62" i="1"/>
  <c r="O61" i="1"/>
  <c r="F61" i="1"/>
  <c r="O60" i="1"/>
  <c r="F60" i="1"/>
  <c r="O59" i="1"/>
  <c r="F59" i="1"/>
  <c r="O58" i="1"/>
  <c r="F58" i="1"/>
  <c r="O57" i="1"/>
  <c r="F57" i="1"/>
  <c r="O56" i="1"/>
  <c r="F56" i="1"/>
  <c r="O55" i="1"/>
  <c r="F55" i="1"/>
  <c r="O54" i="1"/>
  <c r="F54" i="1"/>
  <c r="O53" i="1"/>
  <c r="F53" i="1"/>
  <c r="O52" i="1"/>
  <c r="F52" i="1"/>
  <c r="O51" i="1"/>
  <c r="F51" i="1"/>
  <c r="O50" i="1"/>
  <c r="F50" i="1"/>
  <c r="O49" i="1"/>
  <c r="F49" i="1"/>
  <c r="O48" i="1"/>
  <c r="F48" i="1"/>
  <c r="O47" i="1"/>
  <c r="F47" i="1"/>
  <c r="O46" i="1"/>
  <c r="F46" i="1"/>
  <c r="O45" i="1"/>
  <c r="F45" i="1"/>
  <c r="O44" i="1"/>
  <c r="F44" i="1"/>
  <c r="O43" i="1"/>
  <c r="F43" i="1"/>
  <c r="O42" i="1"/>
  <c r="F42" i="1"/>
  <c r="O41" i="1"/>
  <c r="F41" i="1"/>
  <c r="O40" i="1"/>
  <c r="F40" i="1"/>
  <c r="O39" i="1"/>
  <c r="F39" i="1"/>
  <c r="O38" i="1"/>
  <c r="F38" i="1"/>
  <c r="O37" i="1"/>
  <c r="F37" i="1"/>
  <c r="O36" i="1"/>
  <c r="F36" i="1"/>
  <c r="O35" i="1"/>
  <c r="F35" i="1"/>
  <c r="O34" i="1"/>
  <c r="F34" i="1"/>
  <c r="O33" i="1"/>
  <c r="F33" i="1"/>
  <c r="O32" i="1"/>
  <c r="F32" i="1"/>
  <c r="O31" i="1"/>
  <c r="F31" i="1"/>
  <c r="O30" i="1"/>
  <c r="F30" i="1"/>
  <c r="O29" i="1"/>
  <c r="F29" i="1"/>
  <c r="O28" i="1"/>
  <c r="F28" i="1"/>
  <c r="O27" i="1"/>
  <c r="F27" i="1"/>
  <c r="O26" i="1"/>
  <c r="F26" i="1"/>
  <c r="O25" i="1"/>
  <c r="F25" i="1"/>
  <c r="O24" i="1"/>
  <c r="F24" i="1"/>
  <c r="O23" i="1"/>
  <c r="F23" i="1"/>
  <c r="O22" i="1"/>
  <c r="F22" i="1"/>
  <c r="O21" i="1"/>
  <c r="F21" i="1"/>
  <c r="O20" i="1"/>
  <c r="F20" i="1"/>
  <c r="O19" i="1"/>
  <c r="F19" i="1"/>
  <c r="O18" i="1"/>
  <c r="F18" i="1"/>
  <c r="O17" i="1"/>
  <c r="F17" i="1"/>
  <c r="O16" i="1"/>
  <c r="F16" i="1"/>
  <c r="O15" i="1"/>
  <c r="F15" i="1"/>
  <c r="O14" i="1"/>
  <c r="F14" i="1"/>
  <c r="O13" i="1"/>
  <c r="F13" i="1"/>
  <c r="O12" i="1"/>
  <c r="F12" i="1"/>
  <c r="O11" i="1"/>
  <c r="F11" i="1"/>
  <c r="O10" i="1"/>
  <c r="F10" i="1"/>
  <c r="O9" i="1"/>
  <c r="F9" i="1"/>
  <c r="O8" i="1"/>
  <c r="F8" i="1"/>
  <c r="O7" i="1"/>
  <c r="F7" i="1"/>
  <c r="O6" i="1"/>
  <c r="F6" i="1"/>
  <c r="O5" i="1"/>
  <c r="F5" i="1"/>
  <c r="AN3" i="1"/>
  <c r="AN2" i="1" s="1"/>
  <c r="AM3" i="1"/>
  <c r="AM2" i="1" s="1"/>
  <c r="AL3" i="1"/>
  <c r="AK3" i="1"/>
  <c r="AK2" i="1" s="1"/>
  <c r="AJ3" i="1"/>
  <c r="AI3" i="1"/>
  <c r="AI2" i="1" s="1"/>
  <c r="AH3" i="1"/>
  <c r="AG3" i="1"/>
  <c r="AF3" i="1"/>
  <c r="AF2" i="1" s="1"/>
  <c r="AE3" i="1"/>
  <c r="AE2" i="1" s="1"/>
  <c r="AD3" i="1"/>
  <c r="AC3" i="1"/>
  <c r="AC2" i="1" s="1"/>
  <c r="AB3" i="1"/>
  <c r="AA3" i="1"/>
  <c r="AA2" i="1" s="1"/>
  <c r="Z3" i="1"/>
  <c r="Y3" i="1"/>
  <c r="X3" i="1"/>
  <c r="X2" i="1" s="1"/>
  <c r="W3" i="1"/>
  <c r="W2" i="1" s="1"/>
  <c r="V3" i="1"/>
  <c r="U3" i="1"/>
  <c r="U2" i="1" s="1"/>
  <c r="T3" i="1"/>
  <c r="S3" i="1"/>
  <c r="S2" i="1" s="1"/>
  <c r="R3" i="1"/>
  <c r="Q3" i="1"/>
  <c r="P3" i="1"/>
  <c r="P2" i="1" s="1"/>
  <c r="O3" i="1"/>
  <c r="O2" i="1" s="1"/>
  <c r="N3" i="1"/>
  <c r="M3" i="1"/>
  <c r="M2" i="1" s="1"/>
  <c r="L3" i="1"/>
  <c r="K3" i="1"/>
  <c r="K2" i="1" s="1"/>
  <c r="A3" i="1"/>
  <c r="AL2" i="1"/>
  <c r="AJ2" i="1"/>
  <c r="AH2" i="1"/>
  <c r="AG2" i="1"/>
  <c r="AD2" i="1"/>
  <c r="AB2" i="1"/>
  <c r="Z2" i="1"/>
  <c r="Y2" i="1"/>
  <c r="V2" i="1"/>
  <c r="T2" i="1"/>
  <c r="R2" i="1"/>
  <c r="Q2" i="1"/>
  <c r="N2" i="1"/>
  <c r="L2" i="1"/>
</calcChain>
</file>

<file path=xl/sharedStrings.xml><?xml version="1.0" encoding="utf-8"?>
<sst xmlns="http://schemas.openxmlformats.org/spreadsheetml/2006/main" count="2343" uniqueCount="765">
  <si>
    <t>Code Level</t>
  </si>
  <si>
    <t>Aim</t>
  </si>
  <si>
    <t>Analysis Type</t>
  </si>
  <si>
    <t>Code Transformation techniques</t>
  </si>
  <si>
    <t>Methods</t>
  </si>
  <si>
    <t>Tool</t>
  </si>
  <si>
    <t>Description</t>
  </si>
  <si>
    <t>Article introducer</t>
  </si>
  <si>
    <t xml:space="preserve">Discussed </t>
  </si>
  <si>
    <t>Open Source</t>
  </si>
  <si>
    <t>Link</t>
  </si>
  <si>
    <t>Year</t>
  </si>
  <si>
    <t>Pub. Date</t>
  </si>
  <si>
    <t>Last update</t>
  </si>
  <si>
    <t>Source Language</t>
  </si>
  <si>
    <t>EVM Bytecode</t>
  </si>
  <si>
    <t>Source Code</t>
  </si>
  <si>
    <t>Vulnerability Detection</t>
  </si>
  <si>
    <t>Program Correctness</t>
  </si>
  <si>
    <t>Gas/Resource Analysis</t>
  </si>
  <si>
    <t>Bulk Analysis/Full Automation</t>
  </si>
  <si>
    <t>Exploit Generation/ Detection</t>
  </si>
  <si>
    <t>Reactive Defenses/ Repair</t>
  </si>
  <si>
    <t>Manual Analysis/Dev.Support</t>
  </si>
  <si>
    <t>Static Analysis</t>
  </si>
  <si>
    <t>Dynamic Analysis</t>
  </si>
  <si>
    <t>CFG</t>
  </si>
  <si>
    <t>Data Flow/ Transaction Analysis/Traces</t>
  </si>
  <si>
    <t>AST</t>
  </si>
  <si>
    <t>Decompilation/Compiler</t>
  </si>
  <si>
    <t>Intermediate Representation/ Specification Language (Opcode)</t>
  </si>
  <si>
    <t>Disassembly</t>
  </si>
  <si>
    <t>FSM</t>
  </si>
  <si>
    <t>Symbolic Execution</t>
  </si>
  <si>
    <t>Formal Verification and Constraint Solving</t>
  </si>
  <si>
    <t>Model Checking</t>
  </si>
  <si>
    <t>Abstract Interpretation</t>
  </si>
  <si>
    <t>Fuzzing</t>
  </si>
  <si>
    <t>Runtime Verification</t>
  </si>
  <si>
    <t>Concoli Testing</t>
  </si>
  <si>
    <t>Mutation testing (method)</t>
  </si>
  <si>
    <t>Pattern Matching/ Rule-Based</t>
  </si>
  <si>
    <t>Code Instrumentation (ALGO)</t>
  </si>
  <si>
    <t>Machine Learning/ Deep Learning/ AI</t>
  </si>
  <si>
    <t>Taint Analysis</t>
  </si>
  <si>
    <t>SCStudio</t>
  </si>
  <si>
    <t>SCStudio, a unified smart contract development platform, which aims to help developers implement more secure smart contracts easily. The core idea is to realize real-time security-reinforced recommendation through pattern-based learning; and to perform security-oriented validation via integrated testing.</t>
  </si>
  <si>
    <t>MengRenEtAl2021</t>
  </si>
  <si>
    <t>LiuEtAl2023a</t>
  </si>
  <si>
    <t>✓</t>
  </si>
  <si>
    <t>2021-03</t>
  </si>
  <si>
    <t>Python</t>
  </si>
  <si>
    <t>SmartScan</t>
  </si>
  <si>
    <t>SmartScan is a smart contract security analysis tool that helps detect vulnerabilities and potential issues in Ethereum-based smart contracts.</t>
  </si>
  <si>
    <t>SamreenAndAlalfi2021</t>
  </si>
  <si>
    <t>2021-05</t>
  </si>
  <si>
    <t>SGUARD</t>
  </si>
  <si>
    <t>SGUARD is an approach and a tool which automatically fixes potentially vulnerable smart contracts.</t>
  </si>
  <si>
    <t>NguyenEtAl2021</t>
  </si>
  <si>
    <t>2021-04</t>
  </si>
  <si>
    <t>Node.js</t>
  </si>
  <si>
    <t>WANA</t>
  </si>
  <si>
    <t>An extensible smart contract vulnerability detection tool based on the symbolic execution.</t>
  </si>
  <si>
    <t>JiangEtAl2021</t>
  </si>
  <si>
    <t>2020-08</t>
  </si>
  <si>
    <t>Artemis</t>
  </si>
  <si>
    <t>Artemis is a security auditing tool specifically designed for Ethereum smart contracts. It focuses on detecting vulnerabilities and security issues in the code of Solidity-based smart contracts.</t>
  </si>
  <si>
    <t>Wang A, Wang H, Jiang B, Chan WK. Artemis: An improved smart contract verification tool for vulnerability detection. In: 2020 7th International Conference on Dependable Systems and Their Applications (DSA). Xi’an, China: IEEE; Nov. 2020. p. 173–81. doi: 10.1109/DSA51864.2020.00031.</t>
  </si>
  <si>
    <t>SCScan</t>
  </si>
  <si>
    <t>SCScan is a tool that allows developers and auditors to inspect and analyze the security of Ethereum smart contracts. It provides a platform for viewing contract code, checking for vulnerabilities, and even verifying contract deployment and interactions on the blockchain.</t>
  </si>
  <si>
    <t>Hao X, Ren W, Zheng W, Zhu T. SCScan: A SVM-based scanning system for vulnerabilities in blockchain smart contracts. In: 2020 IEEE 19th International Conference on Trust, Security and Privacy in Computing and Communications (TrustCom). Guangzhou, China: IEEE; Dec. 2020. p. 1598–605. doi: 10.1109/TrustCom50675.2020.00221.</t>
  </si>
  <si>
    <t>GasFuzzer</t>
  </si>
  <si>
    <t>GasFuzzer is a fuzzing tool designed to test the gas consumption and efficiency of smart contracts.</t>
  </si>
  <si>
    <t>Ashraf I, Ma X, Jiang B, Chan WK. GasFuzzer: Fuzzing Ethereum smart contract binaries to expose gas-oriented exception security vulnerabilities. IEEE Access. 2020;8:99552–64. doi: 10.1109/ACCESS.2020.2995183.</t>
  </si>
  <si>
    <t>DEPOSafe</t>
  </si>
  <si>
    <t>DEPOSafe is a smart contract security tool designed to focus on the safe handling of deposits in smart contracts.</t>
  </si>
  <si>
    <t>Ji R, He N, Wu L, Wang H, Bai G, Guo Y. DEPOSafe: Demystifying the fake deposit vulnerability in Ethereum smart contracts. In: 2020 25th International Conference on Engineering of Complex Computer Systems (ICECCS). Singapore: IEEE; Oct. 2020. p. 125–34. doi: 10.1109/ICECCS51672.2020.00022.</t>
  </si>
  <si>
    <t>ReDefender</t>
  </si>
  <si>
    <t>A new approach to detect reentrancy vulnerabilities using fuzz testing.</t>
  </si>
  <si>
    <t>PanEtAl2021</t>
  </si>
  <si>
    <t>Sooyeon et al. Tool</t>
  </si>
  <si>
    <t>In this paper, we classify common vulnerabilities of function calls of Solidity programs into three groups and suggest a method to avoid them. The proposed method makes use of Ethereum Virtual Machine as well as Solidity extension.</t>
  </si>
  <si>
    <t>Lee S, Cho E-S. Lightweight extension of an execution environment for safer function calls in Solidity/Ethereum Virtual Machine smart contracts. In: 2021 IEEE International Conference on Software Analysis, Evolution and Reengineering (SANER). Honolulu, HI, USA: IEEE; Mar. 2021. p. 689–95. doi: 10.1109/SANER50967.2021.00087.</t>
  </si>
  <si>
    <t>OYENTE (Tian enanched version)</t>
  </si>
  <si>
    <t>n this paper a smart contract bytecode defect detection algorithm based on parallel symbolic execution is proposed.</t>
  </si>
  <si>
    <t>Tian Z. Smart contract defect detection based on parallel symbolic execution. In: 2019 3rd International Conference on Circuits, System and Simulation (ICCSS). Nanjing, China: IEEE; Jun. 2019. p. 127–32. doi: 10.1109/CIRSYSSIM.2019.8935603.</t>
  </si>
  <si>
    <t>YuXing et al. tool</t>
  </si>
  <si>
    <t>A more accuracy and comprehensive detection and analysis method of reentrancy from real Ethereum transactions.</t>
  </si>
  <si>
    <t>Tang Y, Li Z, Bai Y. Rethinking of reentrancy on the Ethereum. In: 2021 IEEE Intl Conf on Dependable, Autonomic and Secure Computing, Intl Conf on Pervasive Intelligence and Computing, Intl Conf on Cloud and Big Data Computing, Intl Conf on Cyber Science and Technology Congress (DASC/PiCom/CBDCom/CyberSciTech). AB, Canada: IEEE; Oct. 2021. p. 68–75. doi: 10.1109/ DASC-PICom-CBDCom-CyberSciTech52372.2021.00025.</t>
  </si>
  <si>
    <t>Targy (built on sFuzz)</t>
  </si>
  <si>
    <t>Targy, an efficient targeted mutation strategy based on dynamic taint analysis.</t>
  </si>
  <si>
    <t>Ji S, Dong J, Qiu J, Gu B, Wang Y, Wang T. Increasing fuzz testing coverage for smart contracts with dynamic taint analysis. In: 2021 IEEE 21st International Conference on Software Quality, Reliability and Security (QRS); Dec. 2021. p. 243–7. doi: 10.1109/QRS54544. 2021.00035.</t>
  </si>
  <si>
    <t>OYENTE (Chen enanched version)</t>
  </si>
  <si>
    <t>They enhance a state-of-the-art tool, OYENTE for discovering vulnerabilities in smart contracts with the CFTs covered by traces to investigate how the tool is improved.</t>
  </si>
  <si>
    <t>Chen T, Li Z, Zhang Y, Luo X, Wang T, Hu T, et al. A large-scale empirical study on control flow identification of smart contracts. IEEE Trans Softw Eng. 2022;48(11):4380–96.</t>
  </si>
  <si>
    <t>Pouyan et al.</t>
  </si>
  <si>
    <t>A machine learning predictive model that detects patterns of security vulnerabilities in smart contracts.</t>
  </si>
  <si>
    <t>Momeni P, Wang Y, Samavi R. Machine learning model for smart contracts security analysis. In: 2019 17th International Conference on Privacy, Security and Trust (PST). Fredericton, NB, Canada: IEEE; Aug. 2019. p. 1–6. doi: 10.1109/PST47121.2019. 8949045.</t>
  </si>
  <si>
    <t>EtherSolve</t>
  </si>
  <si>
    <t>A novel static analysis algorithm based on the symbolic execution of the Ethereum operand stack that allows us to resolve jumps in Ethereum bytecode and to construct an accurate control-flow graph (CFG) of the compiled smart contracts.</t>
  </si>
  <si>
    <t>ControEtAl2021</t>
  </si>
  <si>
    <t>2023-08</t>
  </si>
  <si>
    <t>Java</t>
  </si>
  <si>
    <t>CORREAS et al. (GASOL extended)</t>
  </si>
  <si>
    <t>A novel static profiling technique for Ethereum smart contracts that, using static resource analysis, is able to generate upper-bound expressions that can be used to produce profiling information about the measure of interest.</t>
  </si>
  <si>
    <t>Correas J, Gordillo P, Roman-Diez G. Static profiling and optimization of Ethereum smart contracts using resource analysis. IEEE Access. 2021;9:25495–507. doi: 10.1109/ACCESS.2021.3057565.</t>
  </si>
  <si>
    <t>DeeSCVHunter</t>
  </si>
  <si>
    <t>A modularized and systematic Deep Learning-based framework to automatically detect smart contracts vulnerability.</t>
  </si>
  <si>
    <t>YuEtAl2021</t>
  </si>
  <si>
    <t>2023-05</t>
  </si>
  <si>
    <t>C</t>
  </si>
  <si>
    <t>Fuchen et al.  (reinforced FISCO-BCOS-evm)</t>
  </si>
  <si>
    <t>A reinforcement on two widely used EVMs (js-evm and FISCO-BCOS-evm). The reinforced EVMs detects and interrupts all the vulnerabilities, 20% of them missed by testing tools</t>
  </si>
  <si>
    <t>Ma F, Ren M, Fu Y, Wang M, Li H, Song H, et al. Security reinforcement for Ethereum virtual machine. Inf Process &amp; Manag. Jul. 2021;58(4):102565. doi: 10.1016/j.ipm.2021.102565.</t>
  </si>
  <si>
    <t>2018-03</t>
  </si>
  <si>
    <t>2024-02</t>
  </si>
  <si>
    <t>C++</t>
  </si>
  <si>
    <t>Eth2Vec</t>
  </si>
  <si>
    <t>Eth2Vec, a machine-learning-based static analysis tool for vulnerability detection in smart contracts. It is also robust against code rewrites, i.e., it can detect vulnerabilities even
in rewritten codes</t>
  </si>
  <si>
    <t>AshizawaEtAl2021</t>
  </si>
  <si>
    <t>Javascipt, Java, Python</t>
  </si>
  <si>
    <t>VSCL</t>
  </si>
  <si>
    <t>Framework to automatically detect vulnerabilities in smart contracts on the blockchain. More specifically, first, we utilize novel feature vector generation techniques from bytecode of smart contract since the source code of smart contracts are rarely available in public. Next, the collected vectors are fed into our novel metric learning-based deep neural network(DNN) to get the detection result.</t>
  </si>
  <si>
    <t>MiEtAl2021</t>
  </si>
  <si>
    <t>ESAF</t>
  </si>
  <si>
    <t>ESAF (Ethereum Security Analysis Framework), a framework for analysis of smart contracts that aims to unify and facilitate the task of analyzing smart contract vulnerabilities which can be used as a persistent security monitoring tool for a set of target contracts as well as a classic vulnerability analysis tool among other uses.</t>
  </si>
  <si>
    <t>VivarEtAl2021</t>
  </si>
  <si>
    <t>2020-11</t>
  </si>
  <si>
    <t>Pseudocode</t>
  </si>
  <si>
    <t>Yuhang et al.</t>
  </si>
  <si>
    <t>An approach to detect smart contracts vulnerability on blockchain by using machine learning (ML) methods.</t>
  </si>
  <si>
    <t>Sun Y, Gu L. Attention-based machine learning model for smart contract vulnerability detection. J Phys: Conf Ser. Mar. 2021;1820(1):012004. doi: 10.1088/1742-6596/1820/1/012004.</t>
  </si>
  <si>
    <t>Peculiar</t>
  </si>
  <si>
    <t>Peculiar uses Pre-training technique for detection of smart contract vulnerabilities based on crucial data flow graph.</t>
  </si>
  <si>
    <t>WuHEtAl2021</t>
  </si>
  <si>
    <t>2021-07</t>
  </si>
  <si>
    <t>Ben et al.</t>
  </si>
  <si>
    <t>A novel way called AFS (AST Fuse program Slicing) to fuse code characteristic information. AFS can fuse the structured information of AST with program slicing information and detect vulnerabilities by learning new vulnerability characteristic information.</t>
  </si>
  <si>
    <t>Wang B, Chu H, Zhang P, Dong H. Smart contract vulnerability detection using code representation fusion. In: 2021 28th Asia_x0002_Pacific Software Engineering Conference (APSEC). Taipei, Taiwan: IEEE; 2021. p. 564–5. doi: 10.1109/APSEC53868.2021.00069.</t>
  </si>
  <si>
    <t>Wanqing et al.</t>
  </si>
  <si>
    <t>A ML model based on full-stack hierarchical fusion of static features for smart contracts vulnerability detection.</t>
  </si>
  <si>
    <t>Jie W, Koe ASV, Huang P, Zhang S. Full-stack hierarchical fusion of static features for smart contracts vulnerability detection. In: 2021 IEEE International Conference on Blockchain (Blockchain). Melbourne, Australia: IEEE; Dec. 2021. p. 95–102. doi: 10.1109/ Blockchain53845.2021.00091.</t>
  </si>
  <si>
    <t>EtherProv</t>
  </si>
  <si>
    <t>A novel provenance tracking system that leverages static and dynamic analysis synergy to enable detection and mitigation of known security issues in Ethereum smart contracts. EtherProv leverages Solidity source code static and dynamic analysis data through contract bytecode instrumentation. The collected data is transformed into a unified, high-level representation, which can be queried using concise and descriptive Datalog queries. Within the provenance framework, EtherProv is able to analyze contracts' execution flow over time, to detect vulnerabilities within a single contract execution flow and across multiple interacting contracts, and to mitigate new security threats in already deployed contracts.</t>
  </si>
  <si>
    <t>LinoyEtAl2022</t>
  </si>
  <si>
    <t>2021-10</t>
  </si>
  <si>
    <t>SmartGift</t>
  </si>
  <si>
    <t>Smartgift generates practical inputs for testing smart contracts by learning from the transaction records of real-world smart contracts.</t>
  </si>
  <si>
    <t>ZhouEtAl2021</t>
  </si>
  <si>
    <t>2021-12</t>
  </si>
  <si>
    <t>AMEVulDetector</t>
  </si>
  <si>
    <t>AMEVulDetector is a tool designed to detect vulnerabilities in Ethereum smart contracts, specifically related to Arithmetic and Mathematical Errors.</t>
  </si>
  <si>
    <t>LiuZEtAl2021</t>
  </si>
  <si>
    <t>LiuEtAl2023a, XuEtAl2021</t>
  </si>
  <si>
    <t>SC-VDM</t>
  </si>
  <si>
    <t>A tool or methodology designed to detect vulnerabilities in Ethereum smart contracts. SC-VDM primarily focuses on identifying common security flaws and weaknesses that can lead to potential exploits or failures in smart contract execution.</t>
  </si>
  <si>
    <t>Zhou K, Cheng J, Li H, Yuan Y, Liu L, Li X. SC-VDM: A lightweight smart contract vulnerability detection model. In: Tan Y, Shi Y, Zomaya A, Yan H, Cai J, editors. Data Mining and Big Data. Singapore: Springer Singapore; 2021. p. 138–49.</t>
  </si>
  <si>
    <t>Xu et al.</t>
  </si>
  <si>
    <t>A novel machine learning-based analysis model by introducing the shared child nodes for smart contract vulnerabilities.</t>
  </si>
  <si>
    <t>XuEtAl2021</t>
  </si>
  <si>
    <t>GPSCVulDetector</t>
  </si>
  <si>
    <t>The tool detects vulnerabilities in smart contracts using graph neural networks and expert knowledge. It converts code semantics into a contract graph, normalizes it, and extracts features using a temporal message propagation network. Expert patterns are combined for comprehensive detection.</t>
  </si>
  <si>
    <t>JiangEtAl2023</t>
  </si>
  <si>
    <t>A tool based on CFG representation of bytecode that implement detection algorithm to detect SC vulnerabilities.</t>
  </si>
  <si>
    <t>Ziyuan et al.</t>
  </si>
  <si>
    <t>The tool can ensure that the contract has a complete audit process before deployment, so as to decrease the DApp vulnerability caused by poor programming.</t>
  </si>
  <si>
    <t>Li Z, Guo W, Xu Q, Xu Y, Wang H, Xian M. Research on blockchain smart contracts vulnerability and a code audit tool based on matching rules. Proceedings of the 2020 International Conference on Cyberspace Innovation of Advanced Technologies. Guangzhou China: ACM; Dec. 2020. p. 484–9. doi: 10.1145/3444370.3444617.</t>
  </si>
  <si>
    <t>Shasha et al.</t>
  </si>
  <si>
    <t>A general framework to detect potential vulnerabilities of smart contracts.</t>
  </si>
  <si>
    <t>Du S, Huang H. A general framework of smart contract vulnerability mining based on control flow graph matching. In: Sun X, Wang J, Bertino E, editors. Artificial intelligence and security. Singapore: Springer Singapore; 2020. p. 166–75.</t>
  </si>
  <si>
    <t>ReJection</t>
  </si>
  <si>
    <t>A detection method based on abstract syntax tree (AST), to focus on the reentrancy vulnerability with obvious harm and features in smart contracts.</t>
  </si>
  <si>
    <t>Ma R, Jian Z, Chen G, Ma K, Chen Y. ReJection: A AST-based reentrancy vulnerability detection method. In: Han W, Zhu L, Yan F, editors. Trusted computing and information security. Singapore: Springer Singapore; 2020. p. 58–71.</t>
  </si>
  <si>
    <t>MENGLIN et al. (Mythril extended)</t>
  </si>
  <si>
    <t>This paper expands Mythril’s framework to optimize its performance. Firstly, it finds out potential vulnerable code regions using static analysis and identifies critical paths that may have security defects. Then, aiming at the problem that traditional search algorithms cannot actively locate and explore critical paths, this paper presents a multi-objective oriented path search (MOPS) strategy based on path priority. This strategy guides dynamic symbolic execution to cover critical paths quickly, avoiding blind traversal of program execution paths. Finally, it describes security rules and proposes corresponding detection logics for different vulnerability categories.</t>
  </si>
  <si>
    <t>Fu M, Wu L, Hong Z, Zhu F, Sun H, Feng W. A critical-path-coverage-based vulnerability detection method for smart contracts. IEEE Access. 2019;7:147327–44. doi: 10.1109/ACCESS.2019.2947146.</t>
  </si>
  <si>
    <t>Yuqi et al.</t>
  </si>
  <si>
    <t>In this paper, we propose a novel model, Dual Attention Graph Convolutional Network (DA-GCN), to detect vulnerabilities in smart contracts on blockchains. Both control flow graph and opcode sequence extracted from smart contract bytecodes are fed into the feature extractor based on graph convolutional network and self-attention mechanism. Model DAGCN then uses control flow level attention to focus on the more important
nodes in the control flow graph and suppress useless information. Finally, a multi layer perceptron is used to identify whether the smart contract is vulnerable.</t>
  </si>
  <si>
    <t>Fan Y, Shang S, Ding X. Smart contract vulnerability detection based on dual attention graph convolutional network. In: Gao H, Wang X, Tan Y, Shi Y, Zomaya A, Yan H, Cai J, editors. Collaborative computing: Networking, applications and worksharing. Cham: Springer International Publishing; 2021. p. 335–51.</t>
  </si>
  <si>
    <t>Yang et al.</t>
  </si>
  <si>
    <t>We generate sequences from smart contracts in three tokenization standards for which we utilize ngram language model to capture semantic contexts respectively, and finally exploiting our effective combination strategy of Intersection or Union to integrate the audited results from multiple semantic contexts.</t>
  </si>
  <si>
    <t>Yang Z, Keung J, Zhang M, Xiao Y, Huang Y, Hui T. Smart Contracts Vulnerability Auditing with Multi-semantics. In: 2020 IEEE 44th Annual Computers, Software, and Applications Conference (COMPSAC). Madrid, Spain: IEEE; Jul. 2020. p. 892–901. doi: 10.1109/COMPSAC48688.2020.0-153.</t>
  </si>
  <si>
    <t>EVMFuzzer</t>
  </si>
  <si>
    <t>Tool that uses differential fuzzing technique to detect vulnerabilities of EVM. The core idea is to continuously generate seed contracts and feed them to the target EVM and the benchmarkEVMs, so as to find as many inconsistencies among execution results as possible, eventually discover vulnerabilities with outputcross-referencing. Given a target EVM and its APIs, EVMFuzzer generates seed contracts via a set of predefined mutators, and then employs dynamic priority scheduling algorithm to guide seed contracts selection and maximize the inconsistency. Finally, EVMFuzzer leverages benchmark EVMs as cross-referencing oracles to avoid manual checking.</t>
  </si>
  <si>
    <t>fu2019evmfuzzer</t>
  </si>
  <si>
    <t>NarayanaAndSathiyamurthy2021</t>
  </si>
  <si>
    <t>2019-08</t>
  </si>
  <si>
    <t>CodeNet</t>
  </si>
  <si>
    <t>To detect vulnerable smart contracts while maintaining their semantics and context, we propose a new code-targeted CNN architecture, called CodeNet. To improve the performance of CodeNet, we also design a data pre-processing procedure, where a smart contract is transformed into an image while maintaining locality.</t>
  </si>
  <si>
    <t>HwangEtAl2022</t>
  </si>
  <si>
    <t>EVMPATCH</t>
  </si>
  <si>
    <t>This paper presents a framework, called EVMPATCH, to instantly and automatically patch faulty smart contracts. EVMPATCH features a bytecode rewriting engine for the popular Ethereum blockchain, and transparently/automatically rewrites common off-the-shelf contracts to upgradable contracts. The proof-of-concept implementation of EVMPATCH automatically hardens smart contracts that are vulnerable to integer over/underflows and access control errors, but can be easily extended to cover more bug classes.</t>
  </si>
  <si>
    <t>M. Rodler, W. Li, G.O. Karame, L. Davi, {Evmpatch}: Timely and automated patching of ethereum smart contracts, in: 30th USENIX Security Symposium (USENIX Security 21), 2021, pp. 1289–1306.</t>
  </si>
  <si>
    <t>2021-08</t>
  </si>
  <si>
    <t>SmartConDetect</t>
  </si>
  <si>
    <t>A tool for detecting security vulnerabilities in Solidity smart contracts. SmartConDetect is a static analysis tool that extracts code fragments from Solidity smart contracts and uses a pre-trained BERT model to fnd susceptible code patterns.</t>
  </si>
  <si>
    <t>JeonEtAl2023</t>
  </si>
  <si>
    <t>2023-09</t>
  </si>
  <si>
    <t>XFuzz</t>
  </si>
  <si>
    <t>A machine learning guided smart contract fuzzing framework. The machine learning models are trained with novel features (e.g., word vectors and instructions) and are used to filter likely benign program paths.</t>
  </si>
  <si>
    <t>XueEtAl2022</t>
  </si>
  <si>
    <t>DuanEtAl2023</t>
  </si>
  <si>
    <t>2022-06</t>
  </si>
  <si>
    <t>RLF</t>
  </si>
  <si>
    <t xml:space="preserve">A novel vulnerability-guided fuzzer based on reinforcement learning, namely RLF, for generating vulnerable transaction sequences to detect such sophisticated vulnerabilities in smart contracts. In particular, we firstly model the process of fuzzing smart contracts as a Markov decision process to construct our reinforcement learning framework. We then creatively design an appropriate reward with consideration of both vulnerability and code coverage so that it can effectively guide our fuzzer to generate specific transaction sequences to reveal vulnerabilities, especially for the vulnerabilities related to multiple functions.  </t>
  </si>
  <si>
    <t>JianzhongSuEtAl2022</t>
  </si>
  <si>
    <t>2022-10</t>
  </si>
  <si>
    <t>IR-Fuzz</t>
  </si>
  <si>
    <t>A novel framework IR-Fuzz for smart contract fuzzing, which consists of three key components, i.e., function invocation sequence prolongation, branch-distance-driven seed optimization, and branchimportance-aware energy allocation.</t>
  </si>
  <si>
    <t>LiuEtAl2023b</t>
  </si>
  <si>
    <t>2023-01</t>
  </si>
  <si>
    <t>Ity-Fuzz</t>
  </si>
  <si>
    <t>A novel snapshot-based fuzzer ItyFuzz for testing smart contracts. In ItyFuzz, instead of storing sequences of transactions and mutating from them, we snapshot states and singleton transactions. To explore interesting states, ItyFuzz introduces a dataflow waypoint mechanism to identify states with more potential momentum. ItyFuzz also incorporates comparison waypoints to prune the space of states. By maintaining snapshots of the states, ItyFuzz can synthesize concrete exploits like reentrancy attacks quickly. Because ItyFuzz has second-level response time to test a smart contract, it can be used for on-chain testing, which has many benefits compared to local development testing.</t>
  </si>
  <si>
    <t>ShouEtAl2023</t>
  </si>
  <si>
    <t>2023-06</t>
  </si>
  <si>
    <t>2024-03</t>
  </si>
  <si>
    <t>Rust</t>
  </si>
  <si>
    <t>SafeSmartContracts</t>
  </si>
  <si>
    <t>An LSTM model for detecting smart contract security threats at an opcode level.</t>
  </si>
  <si>
    <t>W. J.-W. Tann, X. J. Han, S. S. Gupta, and Y.-S. Ong, “Towards safer smart contracts: A sequence learning approach to detecting security threats,” arXiv preprint arXiv:1811.06632, 2018.</t>
  </si>
  <si>
    <t>2019-12</t>
  </si>
  <si>
    <t>Python, Jupyter</t>
  </si>
  <si>
    <t>ReChecker (VulDeeSmartContract)</t>
  </si>
  <si>
    <t>Deep learning-based approach, namely bidirectional long-short term memory with attention mechanism (BLSTM-ATT), aiming to precisely detect reentrancy bugs.</t>
  </si>
  <si>
    <t>Qian P, Liu Z, He Q, Zimmermann R, Wang X. Towards automated reentrancy detection for smart contracts based on sequential models. IEEE Access. 2020;8:19685–95. doi: 10.1109/ACCESS.2020.2969429.</t>
  </si>
  <si>
    <t>DuanEtAl2023, LiuEtAl2023a</t>
  </si>
  <si>
    <t>2020-01</t>
  </si>
  <si>
    <t>DL-MDF</t>
  </si>
  <si>
    <t>A smart contract vulnerability detection method based on deep learning and multimodal decision fusion.</t>
  </si>
  <si>
    <t>W. Deng, H. Wei, T. Huang, C. Cao, Y. Peng, and X. Hu, “Smart contract vulnerability detection based on deep learning and multimodal decision fusion,” Sensors, vol. 23, no. 16, 2023.</t>
  </si>
  <si>
    <t>HCC</t>
  </si>
  <si>
    <t>HCC develops a code property graph (CPG) to model control-flows and data-flows of a given smart contract. Due to the CPG notation, HCC can be applied to various smart contract platforms and programming languages.</t>
  </si>
  <si>
    <t>J.-R. Giesen, S. Andreina, M. Rodler, G. O. Karame, and L. Davi, “Practical mitigation of smart contract bugs,” arXiv preprint arXiv:2203.00364, 2022.</t>
  </si>
  <si>
    <t xml:space="preserve">DeFinary (built on SCRepair) </t>
  </si>
  <si>
    <t>A technique for automated repair of a smart contract that does not satisfy a user-defined correctness property, financial or otherwise.</t>
  </si>
  <si>
    <t>P. Tolmach, Y. Li, and S.-W. Lin, “Property-based automated repair of defi protocols,” in Proceedings of the 37th IEEE/ACM International Conference on Automated Software Engineering, 2022, pp. 1–5</t>
  </si>
  <si>
    <t>2022-08</t>
  </si>
  <si>
    <t>TypeScript, JavaScript</t>
  </si>
  <si>
    <t>Model for vulnerability detection, it takes advantage of extracting features directly from SC source code to prepare training data set from AST generated by solidity parser. Once training data set is ready, then deep learning models could train on it and can able to classify new data to detect vulnerabilities within the less time.</t>
  </si>
  <si>
    <t>SmartFast</t>
  </si>
  <si>
    <t>A static analysis tool called SmartFast, which expresses the contract source code as a novel intermediate representation named SmartIR. Using preset rules and taint tracking technology, SmartFast matches SmartIR to locate the vulnerability code. Furthermore, SmartFast can recommend the optimization of the contract code automatically</t>
  </si>
  <si>
    <t>LiEtAl2022</t>
  </si>
  <si>
    <t>MSmart</t>
  </si>
  <si>
    <t>MSmart converts the smart contract source code into an intermediate representation, and looks for smart contract vulnerabilities based on intermediate representation and XPath rules.</t>
  </si>
  <si>
    <t>FeiEtAl2023</t>
  </si>
  <si>
    <t>SuMo</t>
  </si>
  <si>
    <t>A mutation testing approach for assessing the quality of test suites accompanying Smart Contracts written in Solidity</t>
  </si>
  <si>
    <t>BarboniEtAl2022</t>
  </si>
  <si>
    <t>2023-12</t>
  </si>
  <si>
    <t>JavaScript</t>
  </si>
  <si>
    <t>ReSuMo</t>
  </si>
  <si>
    <t>ReSuMo is a regression mutation testing approach and tool for Solidity Smart Contracts. ReSuMo uses a static and file-level technique to select a subset of Smart Contracts to mutate, and a subset of test files to re-run during a regression mutation testing campaign.</t>
  </si>
  <si>
    <t>BarboniEtAl2023</t>
  </si>
  <si>
    <t>Huang et al.</t>
  </si>
  <si>
    <t>The model is based on a hard-sharing design, which consists of two parts. First, the bottom sharing layer is mainly used to learn the semantic information of the input contract. The text representation is first transformed into a new vector by word and positional embedding, and then the neural network, based on an attention mechanism, is used to learn and extract the feature vector of the contract. Second, the task-specific layer is mainly employed to realize the functions of each task. A classical convolutional neural network was used to construct a classification model for each task that learns and extracts features from the shared layer for training to achieve their respective task objectives.</t>
  </si>
  <si>
    <t>HuangEtAl2021</t>
  </si>
  <si>
    <t>M-A-R</t>
  </si>
  <si>
    <t>M-A-R, a dynamic symbol execution method focusing on efficient detection for reentry vulnerability, realizes the security detection of the source code of smart contract, optimizes the design of its implementation method, then compares it with the existing related tools.</t>
  </si>
  <si>
    <t>Hong-NingEtAl2021</t>
  </si>
  <si>
    <t>SMARTEST</t>
  </si>
  <si>
    <t>SMARTEST aims not only to detect bugs in smart contracts, but to automatically generate vulnerable transaction sequences that prove the flaws.</t>
  </si>
  <si>
    <t>SunbeomSoEtAl2021</t>
  </si>
  <si>
    <t>Porosity</t>
  </si>
  <si>
    <t>A decompiler for EVM bytecode that generates readable Solidity syntax contracts. Enabling static and dynamic analysis of such
compiled contracts.</t>
  </si>
  <si>
    <t>suiche2017porosity</t>
  </si>
  <si>
    <t>Staderini Mirko, 2022</t>
  </si>
  <si>
    <t>2017-01</t>
  </si>
  <si>
    <t>MANDO-GURU</t>
  </si>
  <si>
    <t>A deep learning-based tool that aims to accurately detect vulnerabilities in smart contracts at both coarse-grained contract-level and fine-grained line-level. Using a combination of control-flow graphs and call graphs of Solidity code, we design new heterogeneous graph attention neural networks to encode more structural and potentially semantic relations among different types of nodes and edges of such graphs and use the encoded embeddings of the graphs and nodes to detect vulnerabilities.</t>
  </si>
  <si>
    <t>NguyenEtAl2022</t>
  </si>
  <si>
    <t>2022-11</t>
  </si>
  <si>
    <t>MANDO-HGT</t>
  </si>
  <si>
    <t xml:space="preserve">A framework for detecting smart contract vulnerabilities. Given Ethereum smart contracts, either in source code or bytecode form, and vulnerable or clean, MANDOHGT custom-builds heterogeneous contract graphs (HCGs) to represent control-flow and/or function-call information of the code. It then adapts heterogeneous graph transformers (HGTs) with customized meta relations for graph nodes and edges to learn their embeddings and train classifiers for detecting various vulnerability types in the nodes and graphs of the contracts more accurately. </t>
  </si>
  <si>
    <t>NguyenEtAl2023</t>
  </si>
  <si>
    <t>SCGRU</t>
  </si>
  <si>
    <t>A smart contract vulnerability detection model called SCGRU combining CNN and bidirectional gating recurrent unit-attention mechanism (BiGRU-Attention) for Ethereum
smart contracts to solve these problems.</t>
  </si>
  <si>
    <t>LiangAndZhai2023</t>
  </si>
  <si>
    <t>VulHunter</t>
  </si>
  <si>
    <t>VulHunter is a method that extracts the instances by traversing the Control Flow Graph built from contract opcodes. Based on the hybrid attention and multi-instance learning mechanisms, VulHunter reasons the instance labels and designs an optional classifier to automatically capture the subtle features of both normal and defective contracts, thereby identifying the vulnerable instances. Then, it combines the symbolic execution to construct and solve symbolic constraints to validate their feasibility.</t>
  </si>
  <si>
    <t>LiEtAl2023</t>
  </si>
  <si>
    <t>2023-11</t>
  </si>
  <si>
    <t>Vulpedia</t>
  </si>
  <si>
    <t>Vulpedia mines expressive vulnerability signatures from contracts. Vulpedia is based on the relaxed assumption that the owner of contract is not malicious. Specifically, we extract structural program features from vulnerable and benign contracts as vulnerability signatures, and construct a systematic detection method based on detection rules composed of vulnerability signatures.</t>
  </si>
  <si>
    <t>JiamingYeEtAl2022</t>
  </si>
  <si>
    <t>ReDetect</t>
  </si>
  <si>
    <t>A symbolic execution-based detection tool for reentrancy vulnerabilities of smart contracts at the EVM bytecode level.</t>
  </si>
  <si>
    <t>RutaoYuEtAl2021</t>
  </si>
  <si>
    <t xml:space="preserve">MEVD </t>
  </si>
  <si>
    <t>A novel Multi-Scale Encoder Vulnerability Detection (MEVD) approach to hit well-known high-risk vulnerabilities in smart contracts. Firstly, we use the gating mechanism to design a unique Surface Feature Encoder (SFE) to enrich the semantic information of code features. Then, by combining a Base Transformer Encoder (BTE) and a Detail CNN Encoder (DCE), we introduce a dual-branch encoder to capture the global structure and local detail features of the smart contract code, respectively. Finally, to focus the model’s attention on vulnerability-related characteristics, we employ the Deep Residual Shrinkage Network (DRSN).</t>
  </si>
  <si>
    <t>GuoEtAl2024</t>
  </si>
  <si>
    <t>Dynamit</t>
  </si>
  <si>
    <t>A monitoring framework to detect reentrancy vulnerabilities in Ethereum smart contracts. The novelty of our framework is that it relies only on transaction metadata and balance data from the blockchain system</t>
  </si>
  <si>
    <t>EshghieEtAl2021</t>
  </si>
  <si>
    <t>Aroc</t>
  </si>
  <si>
    <t>A general smart contract repairer named Aroc, which can automatically patch vulnerable deployed contracts without changing the contract codes</t>
  </si>
  <si>
    <t>JinEtAl2022</t>
  </si>
  <si>
    <t>ConFuzzius</t>
  </si>
  <si>
    <t xml:space="preserve">Hybrid fuzzer for smart contracts. CONFUZZIUS uses evolutionary fuzzing to exercise shallow parts of a smart contract and constraint solving to generate inputs that satisfy complex conditions that prevent evolutionary fuzzing from exploring deeper parts. </t>
  </si>
  <si>
    <t>TorresEtAl2021</t>
  </si>
  <si>
    <t>2021-09</t>
  </si>
  <si>
    <t>2022-07</t>
  </si>
  <si>
    <t>Cai et al. Framework</t>
  </si>
  <si>
    <t>A GNN based approach for smart contract vulnerability detection. First, it constructs a graph representation for a smart contract function with syntactic and semantic features by combining AST, CFG, and PDG. Then, it uses a Bidirectional Gated Graph Neural-Network model with hybrid attention pooling to identify potential vulnerabilities in smart contract functions.</t>
  </si>
  <si>
    <t>CaiEtAl2023</t>
  </si>
  <si>
    <t>SmartGraph</t>
  </si>
  <si>
    <t>A tool for static analysis of Solidity smart contracts that uses a graph as an intermediate representation to facilitate analysis. The tool converts Solidity code into a graph structure that captures the code’s structure and dependencies, allowing analysis at a higher level of abstraction</t>
  </si>
  <si>
    <t>ZhukovAndKorkhov2023</t>
  </si>
  <si>
    <t>S-BiGRU</t>
  </si>
  <si>
    <t>A multi-model smart contract detection method, which is based on a multi-model vulnerability detection method combining Bi-directional Gated Recurrent Unit (BiGRU) and Synthetic Minority Over-sampling Technique (SMOTE) for smart contract vulnerability detection.</t>
  </si>
  <si>
    <t>SongEtAl2023</t>
  </si>
  <si>
    <t>GraphSA</t>
  </si>
  <si>
    <t>GraphSA combines Graph neural networks (GNNs) and Static Analysis for smart contract vulnerability detection</t>
  </si>
  <si>
    <t>LongHeEtAl2023</t>
  </si>
  <si>
    <t>Duan et al. Framework</t>
  </si>
  <si>
    <t>A framework that extracts features from different levels of smart contracts to train machine learning models for effective detection of vulnerabilities</t>
  </si>
  <si>
    <t>EDIT</t>
  </si>
  <si>
    <t>A novel tool able to model interactions and predict them based on historical data.</t>
  </si>
  <si>
    <t>DeSalveEtAl2024</t>
  </si>
  <si>
    <t>ASSBert</t>
  </si>
  <si>
    <t>A framework that leverages active and semi-supervised bidirectional encoder representation from transformers network, which is dedicated to completing the task of smart contract vulnerability classification with a little amount of labeled code data and a large number of unlabeled code data.</t>
  </si>
  <si>
    <t>SunEtAl2023</t>
  </si>
  <si>
    <t>GRATDet</t>
  </si>
  <si>
    <t>A vulnerability detector based on deep learning techniques, graph representation, and Transformer</t>
  </si>
  <si>
    <t>GongEtAl2023</t>
  </si>
  <si>
    <t>Cao et al. Framework</t>
  </si>
  <si>
    <t>A vulnerability detection model in smart contracts based on the data flow and the attention
mechanism by utilizing the semantic structure of source code.</t>
  </si>
  <si>
    <t>CaoEtAl2023a</t>
  </si>
  <si>
    <t>AutoMESC</t>
  </si>
  <si>
    <t>A fully automated framework AutoMESC uses seven of the most well-known smart contract security tools to classify and label the collected vulnerabilities based on vulnerability types.</t>
  </si>
  <si>
    <t>SoudEtAl2023</t>
  </si>
  <si>
    <t>AMAT</t>
  </si>
  <si>
    <t>A tool for performing automated mutation analysis (AMAT) for smart contracts in which the test cases are generated using the proposed enhanced GA used for the mutation analysis.</t>
  </si>
  <si>
    <t>SujeethaAndAkila2023</t>
  </si>
  <si>
    <t xml:space="preserve">RNVulDet </t>
  </si>
  <si>
    <t xml:space="preserve">A tool that incorporates taint analysis techniques to automatically identify bad randomness vulnerabilities and detect corresponding attack transactions. </t>
  </si>
  <si>
    <t>QianEtAl2023b</t>
  </si>
  <si>
    <t>2023-07</t>
  </si>
  <si>
    <t>SCVDIE</t>
  </si>
  <si>
    <t>An ensemble learning (EL)-based contract vulnerability prediction method, which is based on seven different neural networks using contract vulnerability data for contract-level vulnerability detection. Seven neural network (NN) models were first pretrained using an information graph (IG) consisting of source datasets, which then were integrated into an ensemble model.</t>
  </si>
  <si>
    <t>L.ZhangEtAl2022a</t>
  </si>
  <si>
    <t>2022-05</t>
  </si>
  <si>
    <t>eTainter</t>
  </si>
  <si>
    <t>A static analyzer for detecting gas-related vulnerabilities based on taint tracking in the bytecode of smart contracts.</t>
  </si>
  <si>
    <t>GhalebEtAl2022</t>
  </si>
  <si>
    <t>Park</t>
  </si>
  <si>
    <t>The first general framework of parallel-fork symbolic execution for smart contracts. The main idea is to use multiple processes during symbolic execution, leveraging multiple CPU cores to enhance efficiency</t>
  </si>
  <si>
    <t>ZhengEtAl2022</t>
  </si>
  <si>
    <t>Achecker</t>
  </si>
  <si>
    <t>An approach for detecting access control vulnerabilities. It infers access control implemented in smart contracts via static dataflow analysis. Moreover, the approach performs further symbolic based analysis to distinguish cases when unauthorized people can obtain control of the contract as intended functionality.</t>
  </si>
  <si>
    <t>GhalebEtAl2023</t>
  </si>
  <si>
    <t>SIGUARD</t>
  </si>
  <si>
    <t>SIGUARD, the first automatic tool to detect signature-related vulnerabilities and de-mystify them with clear classification and characterization.</t>
  </si>
  <si>
    <t>J.ZhangEtAl2023</t>
  </si>
  <si>
    <t>SmartState</t>
  </si>
  <si>
    <t>A framework for detecting state-reverting vulnerability in Solidity smart contracts via finegrained state-dependency analysis.</t>
  </si>
  <si>
    <t>LiaoEtAl2023</t>
  </si>
  <si>
    <t>QianEtAl2023c</t>
  </si>
  <si>
    <t>A novel cross-modality mutual learning framework for enhancing smart contract vulnerability detection on bytecode.</t>
  </si>
  <si>
    <t>2023-04</t>
  </si>
  <si>
    <t>SynTest-Solidity</t>
  </si>
  <si>
    <t>An automated test case generation and fuzzing framework for Solidity.</t>
  </si>
  <si>
    <t>OlsthoornEtAl2022</t>
  </si>
  <si>
    <t>TypeScript</t>
  </si>
  <si>
    <t>Elysium</t>
  </si>
  <si>
    <t>A scalable approach towards automatic smart contract repair at the bytecode level. Elysium combines template-based and semantic-based patching by inferring context information from bytecode.</t>
  </si>
  <si>
    <t>TorresEtAl2022</t>
  </si>
  <si>
    <t>JavaScript, Python</t>
  </si>
  <si>
    <t>Solicitous (2.0)</t>
  </si>
  <si>
    <t>A novel approach to the automated verification of smart contracts, called direct modeling, which allows us to bypass intermediary steps commonly found in current verification approaches. The present article substantially extends and improves the previous version of Solicitous.</t>
  </si>
  <si>
    <t>OtoniEtAl2023</t>
  </si>
  <si>
    <t>MagicMirror</t>
  </si>
  <si>
    <t>A fuzzing approach to testing smart contracts that utilizes constraint solving, selective state exploration, and combinatorial testing to improve code coverage.</t>
  </si>
  <si>
    <t>FengEtAl2023</t>
  </si>
  <si>
    <t>SMARTIAN</t>
  </si>
  <si>
    <t>SMARTIAN is an efficient open-source fuzzer designed for practical use. It's adept at uncovering bugs within real-world smart contracts, all without necessitating access to the source code.</t>
  </si>
  <si>
    <t>ChoiEtAl2021</t>
  </si>
  <si>
    <t>2021-11</t>
  </si>
  <si>
    <t>F#</t>
  </si>
  <si>
    <t>CrossFuzz (ConFuzzius extended)</t>
  </si>
  <si>
    <t>Is an extension of ConFuzzius, and conducted experiments on a real-world dataset containing 396 smart contracts.</t>
  </si>
  <si>
    <t>YangEtAl2024</t>
  </si>
  <si>
    <t>Block-Gram</t>
  </si>
  <si>
    <t>A feature extraction model Block-gram is proposed to form low-dimensional knowledge-based features from bytecode.</t>
  </si>
  <si>
    <t>XieEtAl2023</t>
  </si>
  <si>
    <t>EtherGIS</t>
  </si>
  <si>
    <t>A vulnerability detection framework that utilizes graph neural networks (GNN) and expert knowledge to extract the graph feature from smart contract control flow graphs (CFG).</t>
  </si>
  <si>
    <t>ZengEtAl2022</t>
  </si>
  <si>
    <t>ESCORT</t>
  </si>
  <si>
    <t>The first Deep Neural Network (DNN)-based vulnerability detection framework for Ethereum smart contracts that supports lightweight transfer learning on unseen security vulnerabilities, thus is extensible and generalizable.</t>
  </si>
  <si>
    <t>LutzEtAl2021</t>
  </si>
  <si>
    <t>SVScanner</t>
  </si>
  <si>
    <t>Method combining two features of heterogeneous patterns to detect smart contract vulnerabilities in the blockchain.</t>
  </si>
  <si>
    <t>H.ZhangEtAl2023</t>
  </si>
  <si>
    <t>Effuzz</t>
  </si>
  <si>
    <t>An input parameter analysis strategy to selectively mutate a subset of input parameters to reduce invalid mutations. Also, to accelerate the processing of satisfying branch constraints, we design an accelerated multi-objective search strategy to reduce the waste of resources.</t>
  </si>
  <si>
    <t>JiEtAl2023</t>
  </si>
  <si>
    <t>SmartDagger</t>
  </si>
  <si>
    <t xml:space="preserve">A new framework for detecting cross-contract vulnerability through static analysis at the bytecode level. </t>
  </si>
  <si>
    <t>LiaoEtAl2022</t>
  </si>
  <si>
    <t>ReVulDL</t>
  </si>
  <si>
    <t>A deep learning based twophase smart contract debugger for reentrancy vulnerability.</t>
  </si>
  <si>
    <t>Z.ZhangEtAl2022</t>
  </si>
  <si>
    <t>ASGVulDetector</t>
  </si>
  <si>
    <t>Static analysis approaches called ASGVulDetector for detecting vulnerabilities in Ethereum smart contacts from source-code perspectives.</t>
  </si>
  <si>
    <t>Y.ZhangEtAl2022</t>
  </si>
  <si>
    <t>BASGVulDetector</t>
  </si>
  <si>
    <t>Static analysis approaches called BASGVulDetector for detecting vulnerabilities in Ethereum smart contacts from bytecode perspectives.</t>
  </si>
  <si>
    <t>TxMirror</t>
  </si>
  <si>
    <t>A novel data-driven framework, dubbed TxMirror, to detect smart contract vulnerability at the bytecode level by simulating transactions symmetrically</t>
  </si>
  <si>
    <t>R.YuEtAl2023</t>
  </si>
  <si>
    <t>TxSpector</t>
  </si>
  <si>
    <t>The first generic and logic-driven framework for inspecting the real-world attacks in Ethereum transactions at bytecode level.</t>
  </si>
  <si>
    <t>zhang2020txspector</t>
  </si>
  <si>
    <t>Go</t>
  </si>
  <si>
    <t>SPCBIG-EC (SPCNN)</t>
  </si>
  <si>
    <t>A flexible and systematic hybrid model, which we call the Serial-Parallel Convolutional Bidirectional Gated Recurrent Network Model incorporating Ensemble Classifiers</t>
  </si>
  <si>
    <t>L.ZhangEtAl2022b</t>
  </si>
  <si>
    <t>CBGRU</t>
  </si>
  <si>
    <t>A novel hybrid deep learning model named CBGRU that strategically combines different word embedding (Word2Vec, FastText) with different deep learning methods (LSTM, GRU, BiLSTM, CNN, BiGRU).</t>
  </si>
  <si>
    <t>L.ZhangEtAl2022c</t>
  </si>
  <si>
    <t>SmartBugs2.0</t>
  </si>
  <si>
    <t>A modular execution framework. It provides a uniform interface to 19 tools aimed at smart contract analysis and accepts both Solidity source code and EVM bytecode as input</t>
  </si>
  <si>
    <t>diAngeloEtAl2023</t>
  </si>
  <si>
    <t>GraBit</t>
  </si>
  <si>
    <t>A novel detection method named GraBit for identifying reentrancy vulnerability-one of the most critical vulnerabilities in smart contracts.</t>
  </si>
  <si>
    <t>ZhuEtAl2023</t>
  </si>
  <si>
    <t>PSCVFinder</t>
  </si>
  <si>
    <t>An approach named PSCVFinder for detecting reentrancy vulnerability and times-tamp dependency vulnerability</t>
  </si>
  <si>
    <t>L.YuEtAl2023</t>
  </si>
  <si>
    <t>HGAT</t>
  </si>
  <si>
    <t>A hierarchical graph attention network-based detection model, in order to address the aforementioned issues as well as the shortcomings of current smart contract vulnerability detection approaches.</t>
  </si>
  <si>
    <t>MaEtAl2023</t>
  </si>
  <si>
    <t>EtherFuzz</t>
  </si>
  <si>
    <t>A mutation fuzzy testing method EtherFuzz to specifically detect TOD vulnerability in smart contracts.</t>
  </si>
  <si>
    <t>WangEtAl2022</t>
  </si>
  <si>
    <t>SoliTester</t>
  </si>
  <si>
    <t>SoliTester implements the ContractAccount-triggering method and evaluates it using datasets that contain three types of external-risky vulnerabilities: Reentancy (RE), Unchecked Call (UcC), and TxOrigin (TO).</t>
  </si>
  <si>
    <t>HuEtAl2023a</t>
  </si>
  <si>
    <t>sFuzz2.0</t>
  </si>
  <si>
    <t>A storage-access-pattern guidedadaptive fuzzer based on sFuzz.</t>
  </si>
  <si>
    <t>WangEtAl2023</t>
  </si>
  <si>
    <t>2023-02</t>
  </si>
  <si>
    <t>Contract bytecode-oriented normalization and slicing techniques to augment bytecode matching.</t>
  </si>
  <si>
    <t>TIPS</t>
  </si>
  <si>
    <t>TIPS is a template-based smart contract repair framework, where match and transform operations at the AST level are encoded, finally taking into account 12 repair templates for 8 common vulnerability types.</t>
  </si>
  <si>
    <t>ChenEtAl2023</t>
  </si>
  <si>
    <t>SCsVulLyzer</t>
  </si>
  <si>
    <t>SCsVulLyzer based on GAs and designed explicitly for profiling SCs.</t>
  </si>
  <si>
    <t>HajiHosseinKhaniEtAl2024</t>
  </si>
  <si>
    <t>EtherSolve2.0 (Extend EtherSolve)</t>
  </si>
  <si>
    <t xml:space="preserve">A novel approach based on symbolic execution of the EVM operands stack that allows to resolve jumps address in the EVM bytecode and to construct a precise Control-Flow Graph (CFG) of compiled smart-contracts. </t>
  </si>
  <si>
    <t>PasquaEtAl2023</t>
  </si>
  <si>
    <t>2023-03</t>
  </si>
  <si>
    <t>MODNN</t>
  </si>
  <si>
    <t>A Multiple-Objective Detection Neural Network called MODNN can validate 12 types of vulnerabilities, including 10 recognized threats, and identify more unknown types without the need for specialist or predefined knowledge through implicit features and Multi-Objective detection (MOD) algorithms.</t>
  </si>
  <si>
    <t>L.ZhangEtAl2022</t>
  </si>
  <si>
    <t>SuperDetector</t>
  </si>
  <si>
    <t>A detection framework called SuperDetector, which combines a variety of vulnerability detection tools based on static analysis technology</t>
  </si>
  <si>
    <t>DaiEtAl2022</t>
  </si>
  <si>
    <t>SoliDetector</t>
  </si>
  <si>
    <t>We propose a static defect detection method based on the knowledge graph of the Solidity language. SoliDetector can support the detection of 20 kinds of defects and the automatic SPARQL query generation.</t>
  </si>
  <si>
    <t>HuEtAl2023b</t>
  </si>
  <si>
    <t>SCcheck</t>
  </si>
  <si>
    <t>An efficient and automated framework that combines Graph and Attention for detecting
smart contract vulnerabilities. This framework takes into account the code structure of smart contracts, extracts nodes, and constructs a contract graph, utilizing dataflow to represent the different semantics of variable nodes at different locations.</t>
  </si>
  <si>
    <t>CaoEtAl2023b</t>
  </si>
  <si>
    <t>SESCon</t>
  </si>
  <si>
    <t>A static analysis tool, SESCon (secure Ethereum smart contract), that apply the taint
analysis techniques with XPath queries</t>
  </si>
  <si>
    <t>AliEtAl2021</t>
  </si>
  <si>
    <t>Sailfish (built on Slither)</t>
  </si>
  <si>
    <t>A scalable system for automatically finding state-inconsistency bugs in smart contracts.</t>
  </si>
  <si>
    <t>BoseEtAl2021</t>
  </si>
  <si>
    <t>MuIESC</t>
  </si>
  <si>
    <t>An integer overflow mutation tool so that mutation injection for integer overflow can be automatically performed.</t>
  </si>
  <si>
    <t>SunEtAl2022a</t>
  </si>
  <si>
    <t>2022-02</t>
  </si>
  <si>
    <t>FSL-Detect</t>
  </si>
  <si>
    <t>A threat detection framework based on fewshot learning for the unknown threat detection scenario of smart contracts</t>
  </si>
  <si>
    <t>HeEtAl2024</t>
  </si>
  <si>
    <t>EthVer</t>
  </si>
  <si>
    <t>An automatic method of formal verification of randomized Ethereum smart contracts that  define and implement the translation of the contracts into MDP (Markov decision process) formal models which can be verified using the PRISM model checker.</t>
  </si>
  <si>
    <t>Mazurek2021</t>
  </si>
  <si>
    <t>Haskell</t>
  </si>
  <si>
    <t>Gas Gauge</t>
  </si>
  <si>
    <t>Gas Gauge, an automatic tool that helps developers and contract owners identify DoS with Block Gas Limit vulnerability and repair their code.</t>
  </si>
  <si>
    <t>NassirzadehEtAl2021</t>
  </si>
  <si>
    <t>Pakala</t>
  </si>
  <si>
    <t>Pakala is a tool for symbolic execution of EVM bytecode (like Manticore or Mythril).</t>
  </si>
  <si>
    <t>-</t>
  </si>
  <si>
    <t>L.ZhangEtAl2022c, VaccaEtAl2021</t>
  </si>
  <si>
    <t>2018-12</t>
  </si>
  <si>
    <t>SolGuard (Extend Solhint)</t>
  </si>
  <si>
    <t>Prevent three critical issues related to Solidity smart contract programs’ usage of external calls. The SolGuard plugin checks state variable order in the smart contracts, participation of delegatecall invocations, address type parameters in the smart contract’s constructor, and denial of service patterns.</t>
  </si>
  <si>
    <t>PraitheeshanEtAl2021</t>
  </si>
  <si>
    <t xml:space="preserve">Ethlint </t>
  </si>
  <si>
    <t xml:space="preserve">Ethlint (Formerly Solium) analyzes your Solidity code for style &amp; security issues and fixes them. Ethlint is a tool that analyzes your Solidity code to check for style and security best practices; when it finds an issue, it fixes it for you. </t>
  </si>
  <si>
    <t>2018-01</t>
  </si>
  <si>
    <t>2019-09</t>
  </si>
  <si>
    <t>Solitor</t>
  </si>
  <si>
    <t>Solitor is short for Solidity (runtime) monitor, and uses runtime verification as a technique to make smart contracts more secure. It enables users to specify the behaviour of a contract using annotations. We define an annotation language to specify the requirements on a smart contract. Solitor can parse and translate these annotations in Solidity contracts to Solidity code which checks the annotation at runtime.</t>
  </si>
  <si>
    <t>stegeman2018solitor</t>
  </si>
  <si>
    <t>2018-11</t>
  </si>
  <si>
    <t>SCSVM</t>
  </si>
  <si>
    <t>SCSVM is an SVM-based vulnerability detection method for Ethereum smart contracts that alleviates the problem of relying on expert rules when static analysis tools detect contract vulnerabilities and the difficulty of reuse among different vulnerability types.</t>
  </si>
  <si>
    <t>YangEtAl2023</t>
  </si>
  <si>
    <t>SCLMF</t>
  </si>
  <si>
    <t>SCLMF, a vulnerability detection method for Ethernet smart contracts based on the underlying learner-meta-learner framework, which alleviates the problem of relying on large-scale data when training models using deep learning methods</t>
  </si>
  <si>
    <t>Kaya</t>
  </si>
  <si>
    <t>A testing framework for DApps</t>
  </si>
  <si>
    <t>wu2020kaya</t>
  </si>
  <si>
    <t>2020-10</t>
  </si>
  <si>
    <t>ConFuzzius-BI</t>
  </si>
  <si>
    <t>On the basis of ConFuzzius, authors added invariant-based test oracles and implemented ConFuzzius-BI (ConFuzzius Based on Invariants), a fuzzing framework based on invariant analysis.</t>
  </si>
  <si>
    <t>SunEtAl2022b</t>
  </si>
  <si>
    <t>2022-12</t>
  </si>
  <si>
    <t>Horus</t>
  </si>
  <si>
    <t>Horus, a framework that empowers the automated detection and investigation of smart contract attacks based on logic-driven and graph-driven analysis of transactions.</t>
  </si>
  <si>
    <t>TorresEtAl2021b</t>
  </si>
  <si>
    <t>2021-01</t>
  </si>
  <si>
    <t>Ethchecker</t>
  </si>
  <si>
    <t>Ethchecker, a smart contract vulnerability detection tool which combines fuzzing and symbolic execution techniques together.</t>
  </si>
  <si>
    <t>HanEtAl2024</t>
  </si>
  <si>
    <t>Developer</t>
  </si>
  <si>
    <t>A novel learning framework for building code vulnerability detection models</t>
  </si>
  <si>
    <t>AgarwalEtAl2022</t>
  </si>
  <si>
    <t>DL4SC</t>
  </si>
  <si>
    <t>A novel deep learning-based vulnerability detection framework for smart contracts at opcode level.</t>
  </si>
  <si>
    <t>LiuEtAl2024</t>
  </si>
  <si>
    <t>HARDEN</t>
  </si>
  <si>
    <t>A Homogeneous Graph Machine Learning Algorithm for Reentrancy attacks DEtection using Graph Convolution Networks</t>
  </si>
  <si>
    <t>LakadawalaEtAl2024</t>
  </si>
  <si>
    <t>Jie et al. Framework</t>
  </si>
  <si>
    <t>A smart contract testing methodology that bestows developers with flexible, practical and customizable strategies to detect vulnerabilities.</t>
  </si>
  <si>
    <t>JieEtAl2023</t>
  </si>
  <si>
    <t>Clear</t>
  </si>
  <si>
    <t>A novel Contrastive Learning Enhanced Automated Recognition Approach for Smart Contract Vulnerabilities, named Clear. Clear employs a contrastive learning (CL) model to capture the fine-grained correlation information among contracts and generates correlation labels based on the relationships between contracts to guide the training process of the CL model. Finally, it combines the correlation and the semantic information of the contract to detect SCVs.</t>
  </si>
  <si>
    <t>chen2024improving</t>
  </si>
  <si>
    <t>2024-04</t>
  </si>
  <si>
    <t>?</t>
  </si>
  <si>
    <t>ScType</t>
  </si>
  <si>
    <t>ScType is based on Slither and consists of a type annotation parser, a type propagation system, and a type checking system. It is inter-procedural and cross-contract, meaning that it may automatically include functions from other contracts in analysis (if their code is available). It also handles arrays and object fields. To reduce the overhead of supporting context-sensitivity, it caches analysis results for each function.</t>
  </si>
  <si>
    <t>zhang2024towards</t>
  </si>
  <si>
    <t>GPTScan</t>
  </si>
  <si>
    <t>The first tool combining GPT with static analysis for smart contract logic vulnerability detection.</t>
  </si>
  <si>
    <t>sun2024gptscan</t>
  </si>
  <si>
    <t>SCVHunter</t>
  </si>
  <si>
    <t>An extensible framework for smart contract vulnerability detection. Specifically, SCVHunter designs a heterogeneous semantic graph construction phase based on intermediate representations and a vulnerability detection phase based on a heterogeneous graph attention network for smart contracts.</t>
  </si>
  <si>
    <t>luo2024scvhunter</t>
  </si>
  <si>
    <t>OVer</t>
  </si>
  <si>
    <t>A framework designed to automatically analyze the behavior of decentralized finance (DeFi) protocols when subjected to a "skewed" oracle input. OVer firstly performs symbolic analysis on the given contract and constructs a model of constraints. Then, the framework leverages an SMT solver to identify parameters that allow its secure operation.</t>
  </si>
  <si>
    <t>deng2024safeguarding</t>
  </si>
  <si>
    <t>DCV</t>
  </si>
  <si>
    <t>An automated safety verification tool, DCV, that targets declarative smart contracts written in DeCon, a logic-based domain-specific language for smart contract implementation and specification. DCV proves safety properties by mathematical induction and can automatically infer inductive invariants using heuristic patterns, without annotations from the developer.</t>
  </si>
  <si>
    <t>chen2024verifying</t>
  </si>
  <si>
    <t>BlockWatchdog</t>
  </si>
  <si>
    <t>A tool that focuses on detecting reentrancy vulnerabilities by identifying attacker contracts. By focusing on attacker contracts, BlockWatchdog effectively detects truly exploitable reentrancy vulnerabilities by identifying reentrant call flow.</t>
  </si>
  <si>
    <t>yang2024uncover</t>
  </si>
  <si>
    <t>Skyeye</t>
  </si>
  <si>
    <t>A novel technique that integrates adversarial and vulnerable contracts together to detect vulnerabilities and resulting imminent attacks. Skyeye works during the stage after adversarial contracts have been deployed but before attack transactions are initiated, providing a critical time window for emergency response to mitigate potential losses.</t>
  </si>
  <si>
    <t>wang2024skyeye</t>
  </si>
  <si>
    <t>OpenTracer</t>
  </si>
  <si>
    <t>OpenTracer guarantees comprehensive tracking of every execution step, providing complete transaction information.</t>
  </si>
  <si>
    <t>chen2024opentracer</t>
  </si>
  <si>
    <t>address + transactions</t>
  </si>
  <si>
    <t>Cobra</t>
  </si>
  <si>
    <t>A novel framework that integrates semantic context and function interfaces to detect vulnerabilities in bytecodes of the smart contract.</t>
  </si>
  <si>
    <t>li2024cobra</t>
  </si>
  <si>
    <t>AdvSCanner</t>
  </si>
  <si>
    <t>A novel method that leverages the Large Language Model (LLM) and static analysis to automatically generate adversarial smart contracts (ASCs) designed to exploit reentrancy vulnerabilities in victim contracts.</t>
  </si>
  <si>
    <t>wu2024advscanner</t>
  </si>
  <si>
    <t>ContractTinker</t>
  </si>
  <si>
    <t>A Large Language Models (LLMs)-empowered tool for real-world vulnerability repair.</t>
  </si>
  <si>
    <t>wang2024contracttinker</t>
  </si>
  <si>
    <t>HighGuard</t>
  </si>
  <si>
    <t>HighGuard, detects transactions that violate business logic specifications of smart contracts. HighGuard employs dynamic condition response (DCR) graph models as formal specifications to verify contract execution against these models.</t>
  </si>
  <si>
    <t>eshghie2024highguard</t>
  </si>
  <si>
    <t>XploGen</t>
  </si>
  <si>
    <t>A tool that uses a model-based oracle specification of the business logic of the smart contracts to synthesize valid exploits using LLMs.</t>
  </si>
  <si>
    <t>eshghie2024oracle</t>
  </si>
  <si>
    <t>Trace2Inv</t>
  </si>
  <si>
    <t>Using these well-established invariants as templates, Trace2Inv dynamically generates new invariants customized for a given contract based on its historical transaction data.</t>
  </si>
  <si>
    <t>chen2024demystifying</t>
  </si>
  <si>
    <t>FunRedisp</t>
  </si>
  <si>
    <t>FunRedisp is a function dispatch refactoring tool to reduce the overall invocation gas consumption of Solidity smart contracts.</t>
  </si>
  <si>
    <t>liu2024funredisp, liu2024funredisp2</t>
  </si>
  <si>
    <t>SOChecker</t>
  </si>
  <si>
    <t>the first tool designed to identify potential vulnerabilities in incomplete SO smart contract code snippets. SOChecker first leverages a fine-tuned Llama2 model for code completion, followed by the application of symbolic execution methods for vulnerability detection.</t>
  </si>
  <si>
    <t>chen2024identifying</t>
  </si>
  <si>
    <t>Midas</t>
  </si>
  <si>
    <t>A novel feedback-driven fuzzing framework to mine profitable exploits in on-chain smart contracts effectively</t>
  </si>
  <si>
    <t>ye2024midas</t>
  </si>
  <si>
    <t xml:space="preserve">address  </t>
  </si>
  <si>
    <t>VeriSol-MCE</t>
  </si>
  <si>
    <t>A new tool to measure condition coverage criterion for smart contracts using Solidity-based model checkers</t>
  </si>
  <si>
    <t>godboley2024poster</t>
  </si>
  <si>
    <t>PonziGuard</t>
  </si>
  <si>
    <t>An efficient Ponzi scheme detection approach based on contract runtime behavior.</t>
  </si>
  <si>
    <t>liang2024towards</t>
  </si>
  <si>
    <t>RLRep</t>
  </si>
  <si>
    <t>A reinforcement learning-based approach to provide smart contract repair recommendations for smart contract developers automatically</t>
  </si>
  <si>
    <t>guo2024smart</t>
  </si>
  <si>
    <t>FunFuzz</t>
  </si>
  <si>
    <t>A function-oriented fuzzer, which is dedicatedly tailored for detecting smart contract vulnerability with high effectiveness and efficiency.</t>
  </si>
  <si>
    <t>ye2024funfuzz</t>
  </si>
  <si>
    <t>ContractSentry</t>
  </si>
  <si>
    <t>A tool for static analysis of smart contracts. First, it preprocesses Solidity code to build critical contract information and transform it into an intermediate representation. Then, based on the intermediate representations, it uses rules for vulnerability detection by analyzing the characteristics of different types of vulnerabilities in smart contracts.</t>
  </si>
  <si>
    <t>wang2025contractsentry</t>
  </si>
  <si>
    <t>Oyente (Enhanced version)</t>
  </si>
  <si>
    <t>Authors have introduced four critical vulnerability detections-Bad randomness, Access control, Unchecked low level, and DoS with unbounded operations-aiming to augment Oyente’s original capabilities.</t>
  </si>
  <si>
    <t>jj2024enhancing</t>
  </si>
  <si>
    <t>EFCF</t>
  </si>
  <si>
    <t>A high-performance fuzzer for Ethereum smart contracts. EFCF efficiently and accurately models complex smart contract interactions, such as reentrancy and cross-contract interactions, at a very high fuzzing throughput rate.</t>
  </si>
  <si>
    <t>rodler2023ef</t>
  </si>
  <si>
    <t>InvCon+</t>
  </si>
  <si>
    <t>A novel invariant generation framework</t>
  </si>
  <si>
    <t>liu2024automated</t>
  </si>
  <si>
    <t>InvCon</t>
  </si>
  <si>
    <t>With the absence of documentation and specifications, routine tasks such as program understanding, maintenance, verification, and validation, remain challenging for smart contracts. We propose a dynamic invariant detection tool, InvCon, for Ethereum smart contracts to mitigate this issue.</t>
  </si>
  <si>
    <t>liu2022invcon</t>
  </si>
  <si>
    <t xml:space="preserve">C </t>
  </si>
  <si>
    <t>ESBMC</t>
  </si>
  <si>
    <t>A solidity frontend for the efficient SMT-based context-bounded model checker, named ESBMC-Solidity, which provides a way of verifying such contracts with its framework.</t>
  </si>
  <si>
    <t>song2022esbmc</t>
  </si>
  <si>
    <t>SmartAxe</t>
  </si>
  <si>
    <t>A new framework to identify vulnerabilities in cross-chain bridge smart contracts.</t>
  </si>
  <si>
    <t>liao2024smartaxe</t>
  </si>
  <si>
    <t>PrettySmart</t>
  </si>
  <si>
    <t>A bytecode-level Permission re-delegation vulnerability detector for Smart contracts.</t>
  </si>
  <si>
    <t>zhong2024prettysmart</t>
  </si>
  <si>
    <t xml:space="preserve">SliSE </t>
  </si>
  <si>
    <t>SliSE is a detection tool that process smart contracts in two stages: Warning Search and Symbolic Execution Verification.</t>
  </si>
  <si>
    <t>wang2024efficiently</t>
  </si>
  <si>
    <t>echidna-parade</t>
  </si>
  <si>
    <t>A tool that provides pushbutton multicore fuzzing using Echidna as an underlying fuzzing engine, and automatically provides sophisticated diversification of configurations.</t>
  </si>
  <si>
    <t>groce2021echidna</t>
  </si>
  <si>
    <t>Targy</t>
  </si>
  <si>
    <t>An efficient targeted mutation strategy based on dynamic taint analysis.</t>
  </si>
  <si>
    <t>ji2021increasing</t>
  </si>
  <si>
    <t>SPCon</t>
  </si>
  <si>
    <t>A tool targeting permission bugs in smart contracts. It mines role structures from historical transactions, and thus enables conformance testing without specifications.</t>
  </si>
  <si>
    <t>liu2022finding</t>
  </si>
  <si>
    <t>SigRec</t>
  </si>
  <si>
    <t>we propose a novel solution that leverages how functions are handled by Ethereum virtual machine (EVM) to automatically recover function signatures.</t>
  </si>
  <si>
    <t>chen2021sigrec</t>
  </si>
  <si>
    <t>Li et al.</t>
  </si>
  <si>
    <t>Estimate gas costs for transactions to loop functions, so that transaction senders can assign gas limit with estimated gas before the transaction starts.</t>
  </si>
  <si>
    <t>li2021gas</t>
  </si>
  <si>
    <t>transactions</t>
  </si>
  <si>
    <t>SmartEmbed</t>
  </si>
  <si>
    <t>New approach is based on word embeddings and vector space comparison. The tool parses smart contract code into word streams with code structural information, converts code elements into numerical vectors that are supposed to encode the code syntax and semantics, and compares the similarities among the vectors encoding code and known bugs, to identify potential issues.</t>
  </si>
  <si>
    <t>gao2020checking</t>
  </si>
  <si>
    <t>ContractCheck</t>
  </si>
  <si>
    <t>ContractCheck model for detecting contract vulnerabilities based on neural network methods.</t>
  </si>
  <si>
    <t>wang2024contractcheck</t>
  </si>
  <si>
    <t>SCAnoGenerator</t>
  </si>
  <si>
    <t>SCAnoGenerator enables automatic anomaly injection for Ethereum smart contracts via analyzing the contracts’ control and data flows.</t>
  </si>
  <si>
    <t>zhang2024scanogenerator</t>
  </si>
  <si>
    <t>LENT-SSE</t>
  </si>
  <si>
    <t>LENT-SSE, a new speculation heuristic for Speculative Symbolic Execution of smart contracts, which leverages the executed and near TXs for skipping and recalling the SMT solving of paths.</t>
  </si>
  <si>
    <t>zheng2024lent</t>
  </si>
  <si>
    <t>CSAFuzzer</t>
  </si>
  <si>
    <t>CSAFuzzer, a fuzzing framework combined with static analysis.</t>
  </si>
  <si>
    <t>yang2025csafuzzer</t>
  </si>
  <si>
    <t>A smart contract threat detection framework (FSL-Detect) for unknown threats with a few samples based on few-shot learning.</t>
  </si>
  <si>
    <t>he2023unknown</t>
  </si>
  <si>
    <t xml:space="preserve"> sGuard+</t>
  </si>
  <si>
    <t>A machine learning guided rule-based automated vulnerability repair approach to accurately detect and correctly repair five types of vulnerability in smart contracts.</t>
  </si>
  <si>
    <t>gao2024sguard</t>
  </si>
  <si>
    <t>✓ PR</t>
  </si>
  <si>
    <t>DFier</t>
  </si>
  <si>
    <t>Dfier elaborates effective transaction sequences with directed inputs for the fuzzer.</t>
  </si>
  <si>
    <t>wang2024dfier</t>
  </si>
  <si>
    <t xml:space="preserve"> BCCC-SCsVulLyzer</t>
  </si>
  <si>
    <t>A new analyzer named BCCC-SCsVulLyzer(V2.0.0), which leverages GAs explicitly for profiling SC vulnerabilities</t>
  </si>
  <si>
    <t>hajihosseinkhani2024unveiling</t>
  </si>
  <si>
    <t>Feature extraction✓</t>
  </si>
  <si>
    <t xml:space="preserve">EVM-Shield </t>
  </si>
  <si>
    <t>EVMShield secures vulnerable smart contracts in real-time via fine-grained access control over sensitive states.</t>
  </si>
  <si>
    <t>zhang2024evm</t>
  </si>
  <si>
    <t>LLMSmartSec</t>
  </si>
  <si>
    <t>LLMSmartSec, a new approach that accurately identifies and fixes smart contract vulnerabilities, leveraging the strengths of machine intelligence to operate at high speed, scale, and without fatigue.</t>
  </si>
  <si>
    <t>mothukuri2024llmsmartsec</t>
  </si>
  <si>
    <t>ContractArmor</t>
  </si>
  <si>
    <t>Tool encapsulates a rule based engine to examine smart contract codes for specific code features and a communicator module which enables Q/A (Question/Answer) towards OpenAI ChatGPT</t>
  </si>
  <si>
    <t>Ozdemir2024</t>
  </si>
  <si>
    <t>SafeCheck</t>
  </si>
  <si>
    <t xml:space="preserve">A vulnerability detection toolSafeCheck using static program analysis methods. </t>
  </si>
  <si>
    <t>chen2024safecheck</t>
  </si>
  <si>
    <t>SolGPT</t>
  </si>
  <si>
    <t>A novel approach to addressing the pivotal issue of detecting and mitigating vulnerabilities inherent in smart contracts</t>
  </si>
  <si>
    <t>zeng2023solgpt</t>
  </si>
  <si>
    <t>ReenSAT</t>
  </si>
  <si>
    <t>We proposed enriching the control flow to construct a constraint reentrancy control flow graph (CRCFG) at the source code level. The CRCFG includes specific control flows interacting with attackers and corresponding constraint relationships. This enhancement facilitates modeling of the reentrancy process and leverages Boolean satisfiability (SAT) solvers for vulnerability detection.</t>
  </si>
  <si>
    <t>he2024reensat</t>
  </si>
  <si>
    <t>Erinys</t>
  </si>
  <si>
    <t>a fuzzing tool based on sfuzz. We incorporate the definition and usage of state variables to define hard-to-cover branch constraints. Then we employ static analysis techniques to obtain the Define-Use relationships between functions and state variables in smart contracts. Additionally, we construct a graph, known as the State variables Define Use Graph, to describe the logical connections between functions based on state variables.</t>
  </si>
  <si>
    <t>dong2024erinys</t>
  </si>
  <si>
    <t>ParSE</t>
  </si>
  <si>
    <t>A novel approach that leverages Parallel and Simplified symbolic Execution to improve both detection efficiency and the number of True-Positive (TP).</t>
  </si>
  <si>
    <t>he2024parse</t>
  </si>
  <si>
    <t>FFGDetector</t>
  </si>
  <si>
    <t>An innovative cross-contract vulnerability detection tool for smart contract based on improved GCN (Graph Convolutional Neural Network), which can automatically analyze the call relationship and data flow between smart contracts, generate and merge contract feature flow graphs.</t>
  </si>
  <si>
    <t>liu2024ffgdetector</t>
  </si>
  <si>
    <t>MuFuzz</t>
  </si>
  <si>
    <t>A fuzzer based on sequence-aware mutation and seed mask guidance strategy</t>
  </si>
  <si>
    <t>qian2024mufuzz</t>
  </si>
  <si>
    <t>MindTheDApp</t>
  </si>
  <si>
    <t>A tool designed to extract interactions among smart contracts in decentralized applications</t>
  </si>
  <si>
    <t>ibba2024mindthedapp</t>
  </si>
  <si>
    <t>CSCV</t>
  </si>
  <si>
    <t>A method of automating the DeFi vulnerability finding based on user-defined properties formulated in temporal logic.</t>
  </si>
  <si>
    <t>ding2024hunting</t>
  </si>
  <si>
    <t>SmartInv</t>
  </si>
  <si>
    <t>an automated framework based on foundation models to infer smart contract invariants and to detect bugs at scale.</t>
  </si>
  <si>
    <t>wang2024smartinv</t>
  </si>
  <si>
    <t>TechyTech</t>
  </si>
  <si>
    <t>A novel dynamic analysis approach of involuntary transfer</t>
  </si>
  <si>
    <t>khan2024involuntary</t>
  </si>
  <si>
    <t xml:space="preserve"> SCVD-SA</t>
  </si>
  <si>
    <t>A detection methodology named SCVD-SA. The model utilizes a hybrid deep learning approach and incorporates a self-attention mechanism.</t>
  </si>
  <si>
    <t>wang2024scvd</t>
  </si>
  <si>
    <t>SERNet-T</t>
  </si>
  <si>
    <t>A smart contract multi-label vulnerability detection model based on SE attention and one-dimensional residual networks</t>
  </si>
  <si>
    <t>guo2024sernet</t>
  </si>
  <si>
    <t>FEMD</t>
  </si>
  <si>
    <t>A feature-enhanced aided multimodal feature fusion method for smart contract vulnerability detection</t>
  </si>
  <si>
    <t>li2024femd</t>
  </si>
  <si>
    <t>SESCD</t>
  </si>
  <si>
    <t>The proposed approach first identifies potential data propagation paths for timestamp vulnerabilities, prunes them, and leverages self-ensembling pre-trained models to learn about these propagation paths</t>
  </si>
  <si>
    <t>dai2024smart</t>
  </si>
  <si>
    <t>FELLMVP</t>
  </si>
  <si>
    <t>A novel framework that integrates ensemble learning with Large Language Models (LLMs) to classify vulnerabilities in smart contracts</t>
  </si>
  <si>
    <t>luo2024fellmvp</t>
  </si>
  <si>
    <t>DeFiRanger</t>
  </si>
  <si>
    <t>A prototype named DEFIRANGER that detect price manipulation</t>
  </si>
  <si>
    <t>wu2023defiranger</t>
  </si>
  <si>
    <t>SolOSphere</t>
  </si>
  <si>
    <t>SolOSphere offers functionality consisting of parsing and deparsing Solidity code, fetching smart contracts from GitHub, and a committed environment for gas analysis</t>
  </si>
  <si>
    <t>khanzadeh2024solosphere</t>
  </si>
  <si>
    <t>DeepFusion</t>
  </si>
  <si>
    <t>A vulnerability detection method that fuses code representation information, including program slice information and abstraction syntax tree (AST) structured information</t>
  </si>
  <si>
    <t>chu2024deepfusion</t>
  </si>
  <si>
    <t>ContractGNN</t>
  </si>
  <si>
    <t>ContractGNN, which combines a new concept of a vulnerability sub-graph (VSG) with graph neural networks (GNNs)</t>
  </si>
  <si>
    <t>wang2024contractgnn</t>
  </si>
  <si>
    <t>SCCHECK takes into account the structure of smart contract code, constructs a Contract Graph, and employs data streams to represent the distinct semantics of variable nodes at various locations.</t>
  </si>
  <si>
    <t>cao2023sccheck</t>
  </si>
  <si>
    <t>EvoFuzzer</t>
  </si>
  <si>
    <t>A fuzzer that focuses on reentrancy vulnerability. EvoFuzzer continuously optimizes the generation of test cases from the perspective of function arrangement and parameter assignment. And each test case starts with contract deployment to avoid dead ends caused by execution.</t>
  </si>
  <si>
    <t>li2024evofuzzer</t>
  </si>
  <si>
    <t>Jain et al</t>
  </si>
  <si>
    <t>A two-step hierarchical approach for smart contract vulnerability detection</t>
  </si>
  <si>
    <t>jain2024integrated</t>
  </si>
  <si>
    <t>DefectChecker</t>
  </si>
  <si>
    <t>A symbolic execution-based approach and tool to detect eight contract defects that can cause unwanted behaviors of smart contracts on the Ethereum blockchain platform.</t>
  </si>
  <si>
    <t>ChenEtAl2021</t>
  </si>
  <si>
    <t xml:space="preserve">Java </t>
  </si>
  <si>
    <t>SoMo</t>
  </si>
  <si>
    <t>SoMo is designed to identify insecure modifiers that can be bypassed from one or more unprotected smart contract functions.</t>
  </si>
  <si>
    <t>fang2023beyond</t>
  </si>
  <si>
    <t>MuSe</t>
  </si>
  <si>
    <t>A tool to generate vulnerable smart contracts by leveraging pattern-based mutation operators to inject six vulnerability types into real-world smart contracts.</t>
  </si>
  <si>
    <t>iuliano2025automated</t>
  </si>
  <si>
    <t>Xscope</t>
  </si>
  <si>
    <t>An automated tool designed to detect security violations in cross-chain bridges and uncover real-world attacks</t>
  </si>
  <si>
    <t>zhang2022xscope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</si>
</sst>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b/>
      <sz val="12"/>
      <color theme="1"/>
      <name val="Aptos Narrow"/>
      <family val="2"/>
      <scheme val="minor"/>
    </font>
    <font>
      <b/>
      <sz val="11"/>
      <name val="Aptos Narrow"/>
      <family val="2"/>
      <scheme val="minor"/>
    </font>
    <font>
      <b/>
      <sz val="11"/>
      <color theme="1"/>
      <name val="Aptos Narrow"/>
      <family val="2"/>
      <scheme val="minor"/>
    </font>
    <font>
      <b/>
      <i/>
      <sz val="11"/>
      <color theme="1"/>
      <name val="Aptos Narrow"/>
      <family val="2"/>
      <scheme val="minor"/>
    </font>
    <font>
      <u/>
      <sz val="11"/>
      <color theme="10"/>
      <name val="Aptos Narrow"/>
      <family val="2"/>
      <scheme val="minor"/>
    </font>
    <font>
      <sz val="11"/>
      <color theme="1"/>
      <name val="Aptos Narrow"/>
      <scheme val="minor"/>
    </font>
    <font>
      <sz val="11"/>
      <color rgb="FFFF0000"/>
      <name val="Aptos Narrow"/>
      <family val="2"/>
      <scheme val="minor"/>
    </font>
    <font>
      <sz val="11"/>
      <color rgb="FF000000"/>
      <name val="Aptos Narrow"/>
      <family val="2"/>
      <scheme val="minor"/>
    </font>
    <font>
      <b/>
      <i/>
      <sz val="11"/>
      <name val="Aptos Narrow"/>
      <family val="2"/>
      <scheme val="minor"/>
    </font>
    <font>
      <sz val="11"/>
      <name val="Aptos Narrow"/>
      <family val="2"/>
      <scheme val="minor"/>
    </font>
    <font>
      <b/>
      <i/>
      <sz val="11"/>
      <color theme="1"/>
      <name val="Aptos Narrow"/>
      <scheme val="minor"/>
    </font>
  </fonts>
  <fills count="11">
    <fill>
      <patternFill patternType="none"/>
    </fill>
    <fill>
      <patternFill patternType="gray125"/>
    </fill>
    <fill>
      <patternFill patternType="solid">
        <fgColor theme="3" tint="0.74999237037263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89">
    <xf numFmtId="0" fontId="0" fillId="0" borderId="0" xfId="0"/>
    <xf numFmtId="0" fontId="2" fillId="2" borderId="1" xfId="0" applyFont="1" applyFill="1" applyBorder="1" applyAlignment="1">
      <alignment horizontal="fill"/>
    </xf>
    <xf numFmtId="0" fontId="2" fillId="2" borderId="2" xfId="0" applyFont="1" applyFill="1" applyBorder="1" applyAlignment="1">
      <alignment horizontal="center" vertical="center" wrapText="1"/>
    </xf>
    <xf numFmtId="0" fontId="2" fillId="2" borderId="2" xfId="0" applyFont="1" applyFill="1" applyBorder="1" applyAlignment="1">
      <alignment horizontal="left"/>
    </xf>
    <xf numFmtId="0" fontId="2" fillId="2" borderId="2" xfId="0" applyFont="1" applyFill="1" applyBorder="1"/>
    <xf numFmtId="0" fontId="2" fillId="2" borderId="2" xfId="0" applyFont="1" applyFill="1" applyBorder="1" applyAlignment="1">
      <alignment horizontal="fill"/>
    </xf>
    <xf numFmtId="0" fontId="0" fillId="2" borderId="2" xfId="0" applyFill="1" applyBorder="1" applyAlignment="1">
      <alignment horizontal="fill"/>
    </xf>
    <xf numFmtId="2" fontId="2" fillId="2" borderId="2" xfId="0" applyNumberFormat="1" applyFont="1" applyFill="1" applyBorder="1"/>
    <xf numFmtId="0" fontId="3" fillId="3" borderId="2" xfId="0" applyFont="1" applyFill="1" applyBorder="1" applyAlignment="1">
      <alignment horizontal="center"/>
    </xf>
    <xf numFmtId="0" fontId="3" fillId="4" borderId="2" xfId="0" applyFont="1" applyFill="1" applyBorder="1" applyAlignment="1">
      <alignment horizontal="center"/>
    </xf>
    <xf numFmtId="0" fontId="3" fillId="5" borderId="2" xfId="0" applyFont="1" applyFill="1" applyBorder="1" applyAlignment="1">
      <alignment horizontal="center"/>
    </xf>
    <xf numFmtId="0" fontId="3" fillId="6" borderId="2"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0" borderId="0" xfId="0" applyFont="1"/>
    <xf numFmtId="0" fontId="2" fillId="2" borderId="4" xfId="0" applyFont="1" applyFill="1" applyBorder="1" applyAlignment="1">
      <alignment horizontal="fill"/>
    </xf>
    <xf numFmtId="0" fontId="2" fillId="2" borderId="0" xfId="0" applyFont="1" applyFill="1" applyAlignment="1">
      <alignment horizontal="center" vertical="center" wrapText="1"/>
    </xf>
    <xf numFmtId="0" fontId="2" fillId="2" borderId="0" xfId="0" applyFont="1" applyFill="1" applyAlignment="1">
      <alignment horizontal="left"/>
    </xf>
    <xf numFmtId="0" fontId="2" fillId="2" borderId="0" xfId="0" applyFont="1" applyFill="1"/>
    <xf numFmtId="0" fontId="2" fillId="2" borderId="0" xfId="0" applyFont="1" applyFill="1" applyAlignment="1">
      <alignment horizontal="fill"/>
    </xf>
    <xf numFmtId="0" fontId="0" fillId="2" borderId="0" xfId="0" applyFill="1" applyAlignment="1">
      <alignment horizontal="fill"/>
    </xf>
    <xf numFmtId="2" fontId="2" fillId="2" borderId="0" xfId="0" applyNumberFormat="1" applyFont="1" applyFill="1"/>
    <xf numFmtId="10" fontId="3" fillId="3" borderId="0" xfId="0" applyNumberFormat="1" applyFont="1" applyFill="1" applyAlignment="1">
      <alignment horizontal="center"/>
    </xf>
    <xf numFmtId="10" fontId="3" fillId="4" borderId="0" xfId="0" applyNumberFormat="1" applyFont="1" applyFill="1" applyAlignment="1">
      <alignment horizontal="center"/>
    </xf>
    <xf numFmtId="10" fontId="3" fillId="5" borderId="0" xfId="0" applyNumberFormat="1" applyFont="1" applyFill="1" applyAlignment="1">
      <alignment horizontal="center"/>
    </xf>
    <xf numFmtId="10" fontId="3" fillId="6" borderId="0" xfId="0" applyNumberFormat="1" applyFont="1" applyFill="1" applyAlignment="1">
      <alignment horizontal="center"/>
    </xf>
    <xf numFmtId="10" fontId="3" fillId="7" borderId="0" xfId="0" applyNumberFormat="1" applyFont="1" applyFill="1" applyAlignment="1">
      <alignment horizontal="center"/>
    </xf>
    <xf numFmtId="10" fontId="3" fillId="7" borderId="5" xfId="0" applyNumberFormat="1" applyFont="1" applyFill="1" applyBorder="1" applyAlignment="1">
      <alignment horizontal="center"/>
    </xf>
    <xf numFmtId="0" fontId="3" fillId="2" borderId="4" xfId="0" applyFont="1" applyFill="1" applyBorder="1" applyAlignment="1">
      <alignment horizontal="right"/>
    </xf>
    <xf numFmtId="0" fontId="3" fillId="3" borderId="0" xfId="0" applyFont="1" applyFill="1"/>
    <xf numFmtId="0" fontId="3" fillId="4" borderId="0" xfId="0" applyFont="1" applyFill="1"/>
    <xf numFmtId="0" fontId="3" fillId="5" borderId="0" xfId="0" applyFont="1" applyFill="1"/>
    <xf numFmtId="0" fontId="3" fillId="6" borderId="0" xfId="0" applyFont="1" applyFill="1"/>
    <xf numFmtId="0" fontId="3" fillId="8" borderId="0" xfId="0" applyFont="1" applyFill="1"/>
    <xf numFmtId="0" fontId="3" fillId="9" borderId="0" xfId="0" applyFont="1" applyFill="1"/>
    <xf numFmtId="0" fontId="3" fillId="10" borderId="0" xfId="0" applyFont="1" applyFill="1"/>
    <xf numFmtId="0" fontId="3" fillId="10" borderId="5" xfId="0" applyFont="1" applyFill="1" applyBorder="1"/>
    <xf numFmtId="0" fontId="1" fillId="2" borderId="4" xfId="0" applyFont="1" applyFill="1" applyBorder="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2" fontId="3" fillId="2" borderId="0" xfId="0" applyNumberFormat="1" applyFont="1" applyFill="1" applyAlignment="1">
      <alignment horizontal="center" vertical="center"/>
    </xf>
    <xf numFmtId="0" fontId="3" fillId="3" borderId="0" xfId="0" applyFont="1" applyFill="1" applyAlignment="1">
      <alignment horizontal="center" vertical="center"/>
    </xf>
    <xf numFmtId="0" fontId="3" fillId="4" borderId="0" xfId="0" applyFont="1" applyFill="1" applyAlignment="1">
      <alignment horizontal="center" vertical="center"/>
    </xf>
    <xf numFmtId="0" fontId="3" fillId="5" borderId="0" xfId="0" applyFont="1" applyFill="1" applyAlignment="1">
      <alignment horizontal="center" vertical="center"/>
    </xf>
    <xf numFmtId="0" fontId="3" fillId="6" borderId="0" xfId="0" applyFont="1" applyFill="1" applyAlignment="1">
      <alignment horizontal="center" vertical="center"/>
    </xf>
    <xf numFmtId="0" fontId="3" fillId="8" borderId="0" xfId="0" applyFont="1" applyFill="1" applyAlignment="1">
      <alignment horizontal="center" vertical="center"/>
    </xf>
    <xf numFmtId="0" fontId="3" fillId="9" borderId="0" xfId="0" applyFont="1" applyFill="1" applyAlignment="1">
      <alignment horizontal="center" vertical="center"/>
    </xf>
    <xf numFmtId="0" fontId="3" fillId="10" borderId="0" xfId="0" applyFont="1" applyFill="1" applyAlignment="1">
      <alignment horizontal="center" vertical="center"/>
    </xf>
    <xf numFmtId="0" fontId="3" fillId="10" borderId="5" xfId="0" applyFont="1" applyFill="1" applyBorder="1" applyAlignment="1">
      <alignment horizontal="center" vertical="center"/>
    </xf>
    <xf numFmtId="0" fontId="3" fillId="0" borderId="0" xfId="0" applyFont="1" applyAlignment="1">
      <alignment horizontal="center" vertical="center"/>
    </xf>
    <xf numFmtId="0" fontId="4" fillId="2" borderId="4" xfId="0" applyFont="1" applyFill="1" applyBorder="1" applyAlignment="1">
      <alignment horizontal="right"/>
    </xf>
    <xf numFmtId="0" fontId="0" fillId="0" borderId="0" xfId="0" applyAlignment="1">
      <alignment horizontal="center" vertical="center" wrapText="1"/>
    </xf>
    <xf numFmtId="0" fontId="0" fillId="0" borderId="0" xfId="0" applyAlignment="1">
      <alignment horizontal="left"/>
    </xf>
    <xf numFmtId="2" fontId="0" fillId="0" borderId="0" xfId="0" applyNumberFormat="1"/>
    <xf numFmtId="0" fontId="0" fillId="0" borderId="0" xfId="1" applyNumberFormat="1" applyFont="1" applyBorder="1" applyAlignment="1">
      <alignment horizontal="fill"/>
    </xf>
    <xf numFmtId="14" fontId="0" fillId="0" borderId="0" xfId="0" applyNumberFormat="1"/>
    <xf numFmtId="0" fontId="0" fillId="0" borderId="5" xfId="0" applyBorder="1"/>
    <xf numFmtId="0" fontId="4" fillId="2" borderId="4" xfId="0" applyFont="1" applyFill="1" applyBorder="1" applyAlignment="1">
      <alignment horizontal="right" vertical="center"/>
    </xf>
    <xf numFmtId="0" fontId="6" fillId="0" borderId="0" xfId="0" applyFont="1" applyAlignment="1">
      <alignment horizontal="center" vertical="center" wrapText="1"/>
    </xf>
    <xf numFmtId="0" fontId="7" fillId="0" borderId="0" xfId="0" applyFont="1"/>
    <xf numFmtId="1" fontId="0" fillId="0" borderId="0" xfId="1" applyNumberFormat="1" applyFont="1" applyBorder="1" applyAlignment="1">
      <alignment horizontal="fill"/>
    </xf>
    <xf numFmtId="1" fontId="0" fillId="0" borderId="0" xfId="0" applyNumberFormat="1" applyAlignment="1">
      <alignment horizontal="left"/>
    </xf>
    <xf numFmtId="0" fontId="0" fillId="0" borderId="0" xfId="1" applyNumberFormat="1" applyFont="1" applyFill="1" applyBorder="1" applyAlignment="1">
      <alignment horizontal="fill"/>
    </xf>
    <xf numFmtId="0" fontId="0" fillId="0" borderId="0" xfId="0" applyAlignment="1">
      <alignment horizontal="fill"/>
    </xf>
    <xf numFmtId="0" fontId="0" fillId="0" borderId="0" xfId="0" applyAlignment="1">
      <alignment horizontal="left" vertical="center"/>
    </xf>
    <xf numFmtId="1" fontId="0" fillId="0" borderId="0" xfId="0" applyNumberFormat="1" applyAlignment="1">
      <alignment horizontal="left" vertical="center"/>
    </xf>
    <xf numFmtId="0" fontId="8" fillId="0" borderId="0" xfId="0" applyFont="1"/>
    <xf numFmtId="0" fontId="9" fillId="2" borderId="4" xfId="0" applyFont="1" applyFill="1" applyBorder="1" applyAlignment="1">
      <alignment horizontal="right" vertical="center"/>
    </xf>
    <xf numFmtId="0" fontId="10"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xf numFmtId="1" fontId="10" fillId="0" borderId="0" xfId="0" applyNumberFormat="1" applyFont="1" applyAlignment="1">
      <alignment horizontal="left" vertical="center"/>
    </xf>
    <xf numFmtId="2" fontId="10" fillId="0" borderId="0" xfId="0" applyNumberFormat="1" applyFont="1"/>
    <xf numFmtId="0" fontId="10" fillId="0" borderId="5" xfId="0" applyFont="1" applyBorder="1"/>
    <xf numFmtId="49" fontId="0" fillId="0" borderId="0" xfId="0" applyNumberFormat="1" applyAlignment="1">
      <alignment horizontal="left"/>
    </xf>
    <xf numFmtId="164" fontId="0" fillId="0" borderId="0" xfId="0" applyNumberFormat="1"/>
    <xf numFmtId="0" fontId="11" fillId="2" borderId="4" xfId="0" applyFont="1" applyFill="1" applyBorder="1" applyAlignment="1">
      <alignment horizontal="right" vertical="center"/>
    </xf>
    <xf numFmtId="1" fontId="8" fillId="0" borderId="0" xfId="0" applyNumberFormat="1" applyFont="1" applyAlignment="1">
      <alignment horizontal="left"/>
    </xf>
    <xf numFmtId="0" fontId="8" fillId="0" borderId="0" xfId="0" applyFont="1" applyAlignment="1">
      <alignment horizontal="fill"/>
    </xf>
    <xf numFmtId="0" fontId="11" fillId="2" borderId="4" xfId="0" applyFont="1" applyFill="1" applyBorder="1" applyAlignment="1">
      <alignment horizontal="right"/>
    </xf>
    <xf numFmtId="1" fontId="0" fillId="0" borderId="0" xfId="0" applyNumberFormat="1"/>
    <xf numFmtId="0" fontId="11" fillId="2" borderId="6" xfId="0" applyFont="1" applyFill="1" applyBorder="1" applyAlignment="1">
      <alignment horizontal="right" vertical="center"/>
    </xf>
    <xf numFmtId="0" fontId="0" fillId="0" borderId="7" xfId="0" applyBorder="1" applyAlignment="1">
      <alignment horizontal="center" vertical="center" wrapText="1"/>
    </xf>
    <xf numFmtId="0" fontId="0" fillId="0" borderId="7" xfId="0" applyBorder="1"/>
    <xf numFmtId="0" fontId="0" fillId="0" borderId="7" xfId="0" applyBorder="1" applyAlignment="1">
      <alignment horizontal="left" vertical="center"/>
    </xf>
    <xf numFmtId="0" fontId="0" fillId="0" borderId="7" xfId="0" applyBorder="1" applyAlignment="1">
      <alignment horizontal="fill"/>
    </xf>
    <xf numFmtId="2" fontId="0" fillId="0" borderId="7" xfId="0" applyNumberFormat="1" applyBorder="1"/>
    <xf numFmtId="0" fontId="0" fillId="0" borderId="8" xfId="0" applyBorder="1"/>
    <xf numFmtId="0" fontId="0" fillId="0" borderId="0" xfId="0" applyAlignment="1">
      <alignment vertical="center"/>
    </xf>
  </cellXfs>
  <cellStyles count="2">
    <cellStyle name="Hyperlink" xfId="1" builtinId="8"/>
    <cellStyle name="Normal" xfId="0" builtinId="0"/>
  </cellStyles>
  <dxfs count="6">
    <dxf>
      <alignment horizontal="fill" vertical="bottom" textRotation="0" wrapText="0" indent="0" justifyLastLine="0" shrinkToFit="0" readingOrder="0"/>
    </dxf>
    <dxf>
      <numFmt numFmtId="2" formatCode="0.00"/>
      <alignment horizontal="fill" vertical="bottom" textRotation="0" wrapText="0" indent="0" justifyLastLine="0" shrinkToFit="0" readingOrder="0"/>
    </dxf>
    <dxf>
      <alignment horizontal="left" vertical="center" textRotation="0" wrapText="0" indent="0" justifyLastLine="0" shrinkToFit="0" readingOrder="0"/>
    </dxf>
    <dxf>
      <alignment horizontal="center" vertical="center" textRotation="0" wrapText="1" indent="0" justifyLastLine="0" shrinkToFit="0" readingOrder="0"/>
    </dxf>
    <dxf>
      <font>
        <b/>
        <i/>
        <strike val="0"/>
        <condense val="0"/>
        <extend val="0"/>
        <outline val="0"/>
        <shadow val="0"/>
        <u val="none"/>
        <vertAlign val="baseline"/>
        <sz val="11"/>
        <color theme="1"/>
        <name val="Aptos Narrow"/>
        <scheme val="minor"/>
      </font>
      <fill>
        <patternFill patternType="solid">
          <fgColor indexed="64"/>
          <bgColor theme="3" tint="0.74999237037263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0" tint="-0.34998626667073579"/>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5AC66B-C011-DA46-9BE9-7215737B7420}" name="Table3" displayName="Table3" ref="A4:AN223" totalsRowShown="0" headerRowDxfId="5">
  <autoFilter ref="A4:AN223" xr:uid="{57703F06-8C6A-B64D-A20A-F912F4578725}"/>
  <tableColumns count="40">
    <tableColumn id="1" xr3:uid="{2E9642C3-1F7C-304A-BDAB-A0CDC81903DB}" name="Tool" dataDxfId="4"/>
    <tableColumn id="2" xr3:uid="{74184ABE-FEBE-F240-80DD-F76AF9E10860}" name="Description" dataDxfId="3"/>
    <tableColumn id="3" xr3:uid="{7063C221-8222-974D-9158-EBC1CD370DB7}" name="Article introducer"/>
    <tableColumn id="4" xr3:uid="{CC0AA22D-E073-8E4E-908F-0491AB7709FD}" name="Discussed " dataDxfId="2"/>
    <tableColumn id="5" xr3:uid="{C41AB537-DF84-2A47-95EB-E4434DFA4F94}" name="Open Source"/>
    <tableColumn id="6" xr3:uid="{5771E36D-99E1-FD44-AD6F-6036E09A47B5}" name="Link" dataDxfId="1" dataCellStyle="Hyperlink"/>
    <tableColumn id="7" xr3:uid="{C1251F15-ADCF-9549-8C34-713D418FF1E4}" name="Year" dataDxfId="0"/>
    <tableColumn id="8" xr3:uid="{9471FBC0-E45D-9E43-B6DB-E8F8FA04A89A}" name="Pub. Date"/>
    <tableColumn id="9" xr3:uid="{E47597A8-13CE-814E-9F5B-9C25CB24F149}" name="Last update"/>
    <tableColumn id="10" xr3:uid="{BB5FE986-C40F-F041-9079-C8A12D527B2E}" name="Source Language"/>
    <tableColumn id="11" xr3:uid="{5AF518FD-A225-E044-9EB2-F597D037CFB0}" name="EVM Bytecode"/>
    <tableColumn id="12" xr3:uid="{DF1D1F30-2194-8147-8098-615F2A868D34}" name="Source Code"/>
    <tableColumn id="13" xr3:uid="{52560D7C-B5F6-5249-AFC3-D2E11E1FDE52}" name="Vulnerability Detection"/>
    <tableColumn id="14" xr3:uid="{17F5ADCF-4723-BA4A-A970-E3450E2E1BD1}" name="Program Correctness"/>
    <tableColumn id="15" xr3:uid="{30ADB26A-92F6-CD4D-8AE5-0E1EFD1DB62B}" name="Gas/Resource Analysis"/>
    <tableColumn id="16" xr3:uid="{50301344-21D9-634E-AD36-FAE409BF2C23}" name="Bulk Analysis/Full Automation"/>
    <tableColumn id="17" xr3:uid="{2B435C8D-7768-804D-BDE0-09A573B714B8}" name="Exploit Generation/ Detection"/>
    <tableColumn id="18" xr3:uid="{69D85FF1-650C-9A44-BC57-FE649BE8EFB9}" name="Reactive Defenses/ Repair"/>
    <tableColumn id="19" xr3:uid="{C6E9AF50-F2F9-2046-9F65-4C200CBA2EE6}" name="Manual Analysis/Dev.Support"/>
    <tableColumn id="20" xr3:uid="{6279EF5C-30E5-4E4D-9426-60703E80B11A}" name="Static Analysis"/>
    <tableColumn id="21" xr3:uid="{EAA1EC9D-2CDB-4148-BA1F-C1CC9D9A2A47}" name="Dynamic Analysis"/>
    <tableColumn id="22" xr3:uid="{38AEA12F-5845-E14E-9F84-447FBCC3EC3F}" name="CFG"/>
    <tableColumn id="23" xr3:uid="{A4F1A4D4-1AAD-F646-8F07-2EFD6C736F89}" name="Data Flow/ Transaction Analysis/Traces"/>
    <tableColumn id="24" xr3:uid="{996693EB-E843-DB49-9D5F-67E0D4779FF4}" name="AST"/>
    <tableColumn id="25" xr3:uid="{E5118014-0BC8-3246-AF14-416B7FAEA32A}" name="Decompilation/Compiler"/>
    <tableColumn id="26" xr3:uid="{4496C62B-15A6-C846-B9CF-E19D84516FD4}" name="Intermediate Representation/ Specification Language (Opcode)"/>
    <tableColumn id="27" xr3:uid="{055674B4-8418-0A4F-B8DC-1757C4633806}" name="Disassembly"/>
    <tableColumn id="28" xr3:uid="{5CE69A10-9D3B-054C-9B69-6DBD5F91657D}" name="FSM"/>
    <tableColumn id="29" xr3:uid="{0898A6B9-4D36-0141-B46C-CBCB87F4D77D}" name="Symbolic Execution"/>
    <tableColumn id="30" xr3:uid="{6AFB669C-A228-334B-9740-5C0D2F7892B9}" name="Formal Verification and Constraint Solving"/>
    <tableColumn id="31" xr3:uid="{34280362-2310-BE46-90AF-24687825D9FB}" name="Model Checking"/>
    <tableColumn id="32" xr3:uid="{0B17B517-E216-DE4F-BFE8-4DBC418C449D}" name="Abstract Interpretation"/>
    <tableColumn id="33" xr3:uid="{6A51BC8C-7D66-ED49-A1B7-4EFE51016695}" name="Fuzzing"/>
    <tableColumn id="34" xr3:uid="{31174FE0-4323-BB43-97FE-D953F76722F5}" name="Runtime Verification"/>
    <tableColumn id="35" xr3:uid="{91A52C92-3CDF-B249-A073-177EEDBEB659}" name="Concoli Testing"/>
    <tableColumn id="36" xr3:uid="{8589290A-E07D-C746-A40B-6940D5D1AE1F}" name="Mutation testing (method)"/>
    <tableColumn id="37" xr3:uid="{87F78966-B8AD-7145-A86A-4EF7C3FEBAC4}" name="Pattern Matching/ Rule-Based"/>
    <tableColumn id="38" xr3:uid="{A8F29141-24CB-084A-A4A6-E0D375FF29E9}" name="Code Instrumentation (ALGO)"/>
    <tableColumn id="39" xr3:uid="{E8B325EC-902E-8744-BC37-7A18D1A5B235}" name="Machine Learning/ Deep Learning/ AI"/>
    <tableColumn id="40" xr3:uid="{A94F0802-05A4-E245-B5BC-0F9020052E8A}" name="Taint Analysi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7597-B181-A84D-9563-4D306971F9B5}">
  <dimension ref="A1:AP223"/>
  <sheetViews>
    <sheetView tabSelected="1" zoomScale="50" zoomScaleNormal="85" workbookViewId="0">
      <pane ySplit="4" topLeftCell="A185" activePane="bottomLeft" state="frozen"/>
      <selection activeCell="A2" sqref="A2"/>
      <selection pane="bottomLeft" activeCell="J5" sqref="J5"/>
    </sheetView>
  </sheetViews>
  <sheetFormatPr baseColWidth="10" defaultColWidth="8.83203125" defaultRowHeight="15" x14ac:dyDescent="0.2"/>
  <cols>
    <col min="1" max="1" width="37" style="88" customWidth="1"/>
    <col min="2" max="2" width="39.33203125" style="51" customWidth="1"/>
    <col min="3" max="3" width="25.6640625" style="64" customWidth="1"/>
    <col min="4" max="4" width="30.5" style="64" customWidth="1"/>
    <col min="5" max="5" width="15.5" customWidth="1"/>
    <col min="6" max="6" width="7.83203125" style="63" customWidth="1"/>
    <col min="7" max="7" width="7" style="63" customWidth="1"/>
    <col min="8" max="8" width="12.5" style="53" customWidth="1"/>
    <col min="9" max="9" width="14.83203125" customWidth="1"/>
    <col min="10" max="10" width="19.5" customWidth="1"/>
    <col min="11" max="11" width="17.33203125" customWidth="1"/>
    <col min="12" max="12" width="16.1640625" customWidth="1"/>
    <col min="13" max="13" width="25.33203125" customWidth="1"/>
    <col min="14" max="14" width="23.5" customWidth="1"/>
    <col min="15" max="15" width="24.83203125" customWidth="1"/>
    <col min="16" max="16" width="31.5" customWidth="1"/>
    <col min="17" max="17" width="27" customWidth="1"/>
    <col min="18" max="18" width="23.83203125" customWidth="1"/>
    <col min="19" max="19" width="30.5" customWidth="1"/>
    <col min="20" max="20" width="18.33203125" customWidth="1"/>
    <col min="21" max="21" width="20.33203125" bestFit="1" customWidth="1"/>
    <col min="22" max="22" width="10" customWidth="1"/>
    <col min="23" max="23" width="33.1640625" customWidth="1"/>
    <col min="24" max="24" width="10" customWidth="1"/>
    <col min="25" max="25" width="23" customWidth="1"/>
    <col min="26" max="26" width="52.33203125" customWidth="1"/>
    <col min="27" max="27" width="16" customWidth="1"/>
    <col min="28" max="28" width="10" customWidth="1"/>
    <col min="29" max="29" width="22.6640625" bestFit="1" customWidth="1"/>
    <col min="30" max="30" width="36" customWidth="1"/>
    <col min="31" max="31" width="19.1640625" bestFit="1" customWidth="1"/>
    <col min="32" max="32" width="21.5" customWidth="1"/>
    <col min="33" max="33" width="11.33203125" bestFit="1" customWidth="1"/>
    <col min="34" max="34" width="23.5" bestFit="1" customWidth="1"/>
    <col min="35" max="35" width="18.6640625" bestFit="1" customWidth="1"/>
    <col min="36" max="36" width="23.83203125" customWidth="1"/>
    <col min="37" max="38" width="26.33203125" customWidth="1"/>
    <col min="39" max="39" width="31.6640625" customWidth="1"/>
    <col min="40" max="40" width="16.6640625" bestFit="1" customWidth="1"/>
  </cols>
  <sheetData>
    <row r="1" spans="1:40" s="14" customFormat="1" x14ac:dyDescent="0.2">
      <c r="A1" s="1"/>
      <c r="B1" s="2"/>
      <c r="C1" s="3"/>
      <c r="D1" s="3"/>
      <c r="E1" s="4"/>
      <c r="F1" s="5"/>
      <c r="G1" s="6"/>
      <c r="H1" s="7"/>
      <c r="I1" s="4"/>
      <c r="J1" s="4"/>
      <c r="K1" s="8" t="s">
        <v>0</v>
      </c>
      <c r="L1" s="8"/>
      <c r="M1" s="9" t="s">
        <v>1</v>
      </c>
      <c r="N1" s="9"/>
      <c r="O1" s="9"/>
      <c r="P1" s="9"/>
      <c r="Q1" s="9"/>
      <c r="R1" s="9"/>
      <c r="S1" s="9"/>
      <c r="T1" s="10" t="s">
        <v>2</v>
      </c>
      <c r="U1" s="10"/>
      <c r="V1" s="11" t="s">
        <v>3</v>
      </c>
      <c r="W1" s="11"/>
      <c r="X1" s="11"/>
      <c r="Y1" s="11"/>
      <c r="Z1" s="11"/>
      <c r="AA1" s="11"/>
      <c r="AB1" s="11"/>
      <c r="AC1" s="12" t="s">
        <v>4</v>
      </c>
      <c r="AD1" s="12"/>
      <c r="AE1" s="12"/>
      <c r="AF1" s="12"/>
      <c r="AG1" s="12"/>
      <c r="AH1" s="12"/>
      <c r="AI1" s="12"/>
      <c r="AJ1" s="12"/>
      <c r="AK1" s="12"/>
      <c r="AL1" s="12"/>
      <c r="AM1" s="12"/>
      <c r="AN1" s="13"/>
    </row>
    <row r="2" spans="1:40" s="14" customFormat="1" x14ac:dyDescent="0.2">
      <c r="A2" s="15"/>
      <c r="B2" s="16"/>
      <c r="C2" s="17"/>
      <c r="D2" s="17"/>
      <c r="E2" s="18"/>
      <c r="F2" s="19"/>
      <c r="G2" s="20"/>
      <c r="H2" s="21"/>
      <c r="I2" s="18"/>
      <c r="J2" s="18"/>
      <c r="K2" s="22">
        <f t="shared" ref="K2:AN2" si="0">K3/$A$3</f>
        <v>0.32420091324200911</v>
      </c>
      <c r="L2" s="22">
        <f t="shared" si="0"/>
        <v>0.72602739726027399</v>
      </c>
      <c r="M2" s="23">
        <f t="shared" si="0"/>
        <v>0.82648401826484019</v>
      </c>
      <c r="N2" s="23">
        <f t="shared" si="0"/>
        <v>0.22831050228310501</v>
      </c>
      <c r="O2" s="23">
        <f t="shared" si="0"/>
        <v>0.15981735159817351</v>
      </c>
      <c r="P2" s="23">
        <f t="shared" si="0"/>
        <v>3.6529680365296802E-2</v>
      </c>
      <c r="Q2" s="23">
        <f t="shared" si="0"/>
        <v>3.6529680365296802E-2</v>
      </c>
      <c r="R2" s="23">
        <f t="shared" si="0"/>
        <v>6.8493150684931503E-2</v>
      </c>
      <c r="S2" s="23">
        <f t="shared" si="0"/>
        <v>0.13242009132420091</v>
      </c>
      <c r="T2" s="24">
        <f t="shared" si="0"/>
        <v>0.81735159817351599</v>
      </c>
      <c r="U2" s="24">
        <f t="shared" si="0"/>
        <v>0.33333333333333331</v>
      </c>
      <c r="V2" s="25">
        <f t="shared" si="0"/>
        <v>0.36986301369863012</v>
      </c>
      <c r="W2" s="25">
        <f t="shared" si="0"/>
        <v>0.28310502283105021</v>
      </c>
      <c r="X2" s="25">
        <f t="shared" si="0"/>
        <v>0.25114155251141551</v>
      </c>
      <c r="Y2" s="25">
        <f t="shared" si="0"/>
        <v>4.5662100456621002E-2</v>
      </c>
      <c r="Z2" s="25">
        <f t="shared" si="0"/>
        <v>0.21461187214611871</v>
      </c>
      <c r="AA2" s="25">
        <f t="shared" si="0"/>
        <v>3.1963470319634701E-2</v>
      </c>
      <c r="AB2" s="25">
        <f t="shared" si="0"/>
        <v>4.5662100456621002E-3</v>
      </c>
      <c r="AC2" s="26">
        <f t="shared" si="0"/>
        <v>0.14611872146118721</v>
      </c>
      <c r="AD2" s="26">
        <f t="shared" si="0"/>
        <v>0.1050228310502283</v>
      </c>
      <c r="AE2" s="26">
        <f t="shared" si="0"/>
        <v>4.1095890410958902E-2</v>
      </c>
      <c r="AF2" s="26">
        <f t="shared" si="0"/>
        <v>1.3698630136986301E-2</v>
      </c>
      <c r="AG2" s="26">
        <f t="shared" si="0"/>
        <v>0.12785388127853881</v>
      </c>
      <c r="AH2" s="26">
        <f t="shared" si="0"/>
        <v>3.6529680365296802E-2</v>
      </c>
      <c r="AI2" s="26">
        <f t="shared" si="0"/>
        <v>1.8264840182648401E-2</v>
      </c>
      <c r="AJ2" s="26">
        <f t="shared" si="0"/>
        <v>8.2191780821917804E-2</v>
      </c>
      <c r="AK2" s="26">
        <f t="shared" si="0"/>
        <v>0.1004566210045662</v>
      </c>
      <c r="AL2" s="26">
        <f t="shared" si="0"/>
        <v>9.1324200913242004E-2</v>
      </c>
      <c r="AM2" s="26">
        <f t="shared" si="0"/>
        <v>0.38356164383561642</v>
      </c>
      <c r="AN2" s="27">
        <f t="shared" si="0"/>
        <v>0.11872146118721461</v>
      </c>
    </row>
    <row r="3" spans="1:40" s="14" customFormat="1" x14ac:dyDescent="0.2">
      <c r="A3" s="28">
        <f>SUBTOTAL(3,A5:A223)</f>
        <v>219</v>
      </c>
      <c r="B3" s="16"/>
      <c r="C3" s="17"/>
      <c r="D3" s="17"/>
      <c r="E3" s="18"/>
      <c r="F3" s="19"/>
      <c r="G3" s="20"/>
      <c r="H3" s="21"/>
      <c r="I3" s="18"/>
      <c r="J3" s="18"/>
      <c r="K3" s="29">
        <f>SUBTOTAL(3,K5:K222)</f>
        <v>71</v>
      </c>
      <c r="L3" s="29">
        <f>SUBTOTAL(3,L5:L222)</f>
        <v>159</v>
      </c>
      <c r="M3" s="30">
        <f>SUBTOTAL(3,M5:M223)</f>
        <v>181</v>
      </c>
      <c r="N3" s="30">
        <f>SUBTOTAL(3,N5:N222)</f>
        <v>50</v>
      </c>
      <c r="O3" s="30">
        <f>31+4</f>
        <v>35</v>
      </c>
      <c r="P3" s="30">
        <f>SUBTOTAL(3,P5:P222)</f>
        <v>8</v>
      </c>
      <c r="Q3" s="30">
        <f t="shared" ref="Q3:S3" si="1">SUBTOTAL(3,Q5:Q222)</f>
        <v>8</v>
      </c>
      <c r="R3" s="30">
        <f t="shared" si="1"/>
        <v>15</v>
      </c>
      <c r="S3" s="30">
        <f t="shared" si="1"/>
        <v>29</v>
      </c>
      <c r="T3" s="31">
        <f>SUBTOTAL(3,T5:T222)</f>
        <v>179</v>
      </c>
      <c r="U3" s="31">
        <f>SUBTOTAL(3,U5:U222)</f>
        <v>73</v>
      </c>
      <c r="V3" s="32">
        <f>SUBTOTAL(3,V5:V222)</f>
        <v>81</v>
      </c>
      <c r="W3" s="32">
        <f t="shared" ref="W3:AB3" si="2">SUBTOTAL(3,W5:W222)</f>
        <v>62</v>
      </c>
      <c r="X3" s="32">
        <f t="shared" si="2"/>
        <v>55</v>
      </c>
      <c r="Y3" s="32">
        <f t="shared" si="2"/>
        <v>10</v>
      </c>
      <c r="Z3" s="32">
        <f t="shared" si="2"/>
        <v>47</v>
      </c>
      <c r="AA3" s="32">
        <f t="shared" si="2"/>
        <v>7</v>
      </c>
      <c r="AB3" s="32">
        <f t="shared" si="2"/>
        <v>1</v>
      </c>
      <c r="AC3" s="33">
        <f>SUBTOTAL(3,AC5:AC222)</f>
        <v>32</v>
      </c>
      <c r="AD3" s="33">
        <f t="shared" ref="AD3:AF3" si="3">SUBTOTAL(3,AD5:AD222)</f>
        <v>23</v>
      </c>
      <c r="AE3" s="33">
        <f t="shared" si="3"/>
        <v>9</v>
      </c>
      <c r="AF3" s="33">
        <f t="shared" si="3"/>
        <v>3</v>
      </c>
      <c r="AG3" s="34">
        <f>SUBTOTAL(3,AG5:AG222)</f>
        <v>28</v>
      </c>
      <c r="AH3" s="34">
        <f t="shared" ref="AH3:AJ3" si="4">SUBTOTAL(3,AH5:AH222)</f>
        <v>8</v>
      </c>
      <c r="AI3" s="34">
        <f t="shared" si="4"/>
        <v>4</v>
      </c>
      <c r="AJ3" s="34">
        <f t="shared" si="4"/>
        <v>18</v>
      </c>
      <c r="AK3" s="35">
        <f>SUBTOTAL(3,AK5:AK222)</f>
        <v>22</v>
      </c>
      <c r="AL3" s="35">
        <f t="shared" ref="AL3:AN3" si="5">SUBTOTAL(3,AL5:AL222)</f>
        <v>20</v>
      </c>
      <c r="AM3" s="35">
        <f t="shared" si="5"/>
        <v>84</v>
      </c>
      <c r="AN3" s="36">
        <f t="shared" si="5"/>
        <v>26</v>
      </c>
    </row>
    <row r="4" spans="1:40" s="49" customFormat="1" ht="16" x14ac:dyDescent="0.2">
      <c r="A4" s="37" t="s">
        <v>5</v>
      </c>
      <c r="B4" s="38" t="s">
        <v>6</v>
      </c>
      <c r="C4" s="39" t="s">
        <v>7</v>
      </c>
      <c r="D4" s="39" t="s">
        <v>8</v>
      </c>
      <c r="E4" s="39" t="s">
        <v>9</v>
      </c>
      <c r="F4" s="39" t="s">
        <v>10</v>
      </c>
      <c r="G4" s="39" t="s">
        <v>11</v>
      </c>
      <c r="H4" s="40" t="s">
        <v>12</v>
      </c>
      <c r="I4" s="39" t="s">
        <v>13</v>
      </c>
      <c r="J4" s="39" t="s">
        <v>14</v>
      </c>
      <c r="K4" s="41" t="s">
        <v>15</v>
      </c>
      <c r="L4" s="41" t="s">
        <v>16</v>
      </c>
      <c r="M4" s="42" t="s">
        <v>17</v>
      </c>
      <c r="N4" s="42" t="s">
        <v>18</v>
      </c>
      <c r="O4" s="42" t="s">
        <v>19</v>
      </c>
      <c r="P4" s="42" t="s">
        <v>20</v>
      </c>
      <c r="Q4" s="42" t="s">
        <v>21</v>
      </c>
      <c r="R4" s="42" t="s">
        <v>22</v>
      </c>
      <c r="S4" s="42" t="s">
        <v>23</v>
      </c>
      <c r="T4" s="43" t="s">
        <v>24</v>
      </c>
      <c r="U4" s="43" t="s">
        <v>25</v>
      </c>
      <c r="V4" s="44" t="s">
        <v>26</v>
      </c>
      <c r="W4" s="44" t="s">
        <v>27</v>
      </c>
      <c r="X4" s="44" t="s">
        <v>28</v>
      </c>
      <c r="Y4" s="44" t="s">
        <v>29</v>
      </c>
      <c r="Z4" s="44" t="s">
        <v>30</v>
      </c>
      <c r="AA4" s="44" t="s">
        <v>31</v>
      </c>
      <c r="AB4" s="44" t="s">
        <v>32</v>
      </c>
      <c r="AC4" s="45" t="s">
        <v>33</v>
      </c>
      <c r="AD4" s="45" t="s">
        <v>34</v>
      </c>
      <c r="AE4" s="45" t="s">
        <v>35</v>
      </c>
      <c r="AF4" s="45" t="s">
        <v>36</v>
      </c>
      <c r="AG4" s="46" t="s">
        <v>37</v>
      </c>
      <c r="AH4" s="46" t="s">
        <v>38</v>
      </c>
      <c r="AI4" s="46" t="s">
        <v>39</v>
      </c>
      <c r="AJ4" s="46" t="s">
        <v>40</v>
      </c>
      <c r="AK4" s="47" t="s">
        <v>41</v>
      </c>
      <c r="AL4" s="47" t="s">
        <v>42</v>
      </c>
      <c r="AM4" s="47" t="s">
        <v>43</v>
      </c>
      <c r="AN4" s="48" t="s">
        <v>44</v>
      </c>
    </row>
    <row r="5" spans="1:40" ht="112" x14ac:dyDescent="0.2">
      <c r="A5" s="50" t="s">
        <v>45</v>
      </c>
      <c r="B5" s="51" t="s">
        <v>46</v>
      </c>
      <c r="C5" t="s">
        <v>47</v>
      </c>
      <c r="D5" s="52" t="s">
        <v>48</v>
      </c>
      <c r="E5" t="s">
        <v>49</v>
      </c>
      <c r="F5" s="53" t="str">
        <f>IF(AND(ISTEXT("https://github.com/FISCO-BCOS/SCStudio"),"https://github.com/FISCO-BCOS/SCStudio"&lt;&gt;""), HYPERLINK("https://github.com/FISCO-BCOS/SCStudio", "Link"),"-")</f>
        <v>Link</v>
      </c>
      <c r="G5" s="54">
        <v>2021</v>
      </c>
      <c r="H5" s="55" t="s">
        <v>50</v>
      </c>
      <c r="J5" t="s">
        <v>51</v>
      </c>
      <c r="L5" t="s">
        <v>49</v>
      </c>
      <c r="M5" t="s">
        <v>49</v>
      </c>
      <c r="N5" t="s">
        <v>49</v>
      </c>
      <c r="O5" t="str">
        <f>IF(NOT(ISERROR( SEARCH(A5,#REF!))), "✓", "")</f>
        <v/>
      </c>
      <c r="S5" t="s">
        <v>49</v>
      </c>
      <c r="T5" t="s">
        <v>49</v>
      </c>
      <c r="U5" t="s">
        <v>49</v>
      </c>
      <c r="X5" t="s">
        <v>49</v>
      </c>
      <c r="AL5" t="s">
        <v>49</v>
      </c>
      <c r="AN5" s="56"/>
    </row>
    <row r="6" spans="1:40" ht="48" x14ac:dyDescent="0.2">
      <c r="A6" s="57" t="s">
        <v>52</v>
      </c>
      <c r="B6" s="58" t="s">
        <v>53</v>
      </c>
      <c r="C6" t="s">
        <v>54</v>
      </c>
      <c r="D6" s="52" t="s">
        <v>48</v>
      </c>
      <c r="E6" t="s">
        <v>49</v>
      </c>
      <c r="F6" s="53" t="str">
        <f>IF(AND(ISTEXT("https://smartscan.cs.ryerson.ca:4638/"),"https://smartscan.cs.ryerson.ca:4638/"&lt;&gt;""), HYPERLINK("https://smartscan.cs.ryerson.ca:4638/", "Link"),"-")</f>
        <v>Link</v>
      </c>
      <c r="G6" s="54">
        <v>2021</v>
      </c>
      <c r="H6" s="53" t="s">
        <v>55</v>
      </c>
      <c r="L6" t="s">
        <v>49</v>
      </c>
      <c r="M6" t="s">
        <v>49</v>
      </c>
      <c r="O6" t="str">
        <f>IF(NOT(ISERROR( SEARCH(A6,#REF!))), "✓", "")</f>
        <v/>
      </c>
      <c r="Q6" t="s">
        <v>49</v>
      </c>
      <c r="T6" t="s">
        <v>49</v>
      </c>
      <c r="U6" t="s">
        <v>49</v>
      </c>
      <c r="AK6" t="s">
        <v>49</v>
      </c>
      <c r="AL6" s="59"/>
      <c r="AN6" s="56"/>
    </row>
    <row r="7" spans="1:40" ht="48" x14ac:dyDescent="0.2">
      <c r="A7" s="57" t="s">
        <v>56</v>
      </c>
      <c r="B7" s="51" t="s">
        <v>57</v>
      </c>
      <c r="C7" t="s">
        <v>58</v>
      </c>
      <c r="D7" s="52" t="s">
        <v>48</v>
      </c>
      <c r="E7" t="s">
        <v>49</v>
      </c>
      <c r="F7" s="53" t="str">
        <f>IF(AND(ISTEXT("https://github.com/reentrancy/sGuard"),"https://github.com/reentrancy/sGuard"&lt;&gt;""), HYPERLINK("https://github.com/reentrancy/sGuard", "Link"),"-")</f>
        <v>Link</v>
      </c>
      <c r="G7" s="54">
        <v>2021</v>
      </c>
      <c r="H7" s="53" t="s">
        <v>59</v>
      </c>
      <c r="J7" t="s">
        <v>60</v>
      </c>
      <c r="K7" t="s">
        <v>49</v>
      </c>
      <c r="L7" t="s">
        <v>49</v>
      </c>
      <c r="M7" t="s">
        <v>49</v>
      </c>
      <c r="O7" t="str">
        <f>IF(NOT(ISERROR( SEARCH(A7,#REF!))), "✓", "")</f>
        <v/>
      </c>
      <c r="P7" t="s">
        <v>49</v>
      </c>
      <c r="R7" t="s">
        <v>49</v>
      </c>
      <c r="S7" t="s">
        <v>49</v>
      </c>
      <c r="T7" t="s">
        <v>49</v>
      </c>
      <c r="U7" t="s">
        <v>49</v>
      </c>
      <c r="V7" t="s">
        <v>49</v>
      </c>
      <c r="W7" t="s">
        <v>49</v>
      </c>
      <c r="X7" t="s">
        <v>49</v>
      </c>
      <c r="AC7" t="s">
        <v>49</v>
      </c>
      <c r="AH7" t="s">
        <v>49</v>
      </c>
      <c r="AI7" t="s">
        <v>49</v>
      </c>
      <c r="AL7" s="59"/>
      <c r="AN7" s="56" t="s">
        <v>49</v>
      </c>
    </row>
    <row r="8" spans="1:40" ht="32" x14ac:dyDescent="0.2">
      <c r="A8" s="50" t="s">
        <v>61</v>
      </c>
      <c r="B8" s="51" t="s">
        <v>62</v>
      </c>
      <c r="C8" t="s">
        <v>63</v>
      </c>
      <c r="D8" s="52" t="s">
        <v>48</v>
      </c>
      <c r="E8" t="s">
        <v>49</v>
      </c>
      <c r="F8" s="53" t="str">
        <f>IF(AND(ISTEXT("https://github.com/gongbell/wana"),"https://github.com/gongbell/wana"&lt;&gt;""), HYPERLINK("https://github.com/gongbell/wana", "Link"),"-")</f>
        <v>Link</v>
      </c>
      <c r="G8" s="54">
        <v>2020</v>
      </c>
      <c r="H8" s="53" t="s">
        <v>64</v>
      </c>
      <c r="I8" t="s">
        <v>50</v>
      </c>
      <c r="J8" t="s">
        <v>51</v>
      </c>
      <c r="K8" t="s">
        <v>49</v>
      </c>
      <c r="M8" t="s">
        <v>49</v>
      </c>
      <c r="O8" t="str">
        <f>IF(NOT(ISERROR( SEARCH(A8,#REF!))), "✓", "")</f>
        <v/>
      </c>
      <c r="T8" t="s">
        <v>49</v>
      </c>
      <c r="U8" t="s">
        <v>49</v>
      </c>
      <c r="AC8" t="s">
        <v>49</v>
      </c>
      <c r="AN8" s="56"/>
    </row>
    <row r="9" spans="1:40" ht="64" x14ac:dyDescent="0.2">
      <c r="A9" s="50" t="s">
        <v>65</v>
      </c>
      <c r="B9" s="51" t="s">
        <v>66</v>
      </c>
      <c r="C9" s="52" t="s">
        <v>67</v>
      </c>
      <c r="D9" s="52" t="s">
        <v>48</v>
      </c>
      <c r="F9" s="53" t="str">
        <f t="shared" ref="F9:F19" si="6">IF(AND(ISTEXT(""),""&lt;&gt;""), HYPERLINK("", "Link"),"-")</f>
        <v>-</v>
      </c>
      <c r="G9" s="60">
        <v>2020</v>
      </c>
      <c r="K9" t="s">
        <v>49</v>
      </c>
      <c r="M9" t="s">
        <v>49</v>
      </c>
      <c r="O9" t="str">
        <f>IF(NOT(ISERROR( SEARCH(A9,#REF!))), "✓", "")</f>
        <v/>
      </c>
      <c r="T9" t="s">
        <v>49</v>
      </c>
      <c r="V9" t="s">
        <v>49</v>
      </c>
      <c r="AA9" t="s">
        <v>49</v>
      </c>
      <c r="AC9" t="s">
        <v>49</v>
      </c>
      <c r="AN9" s="56"/>
    </row>
    <row r="10" spans="1:40" ht="96" x14ac:dyDescent="0.2">
      <c r="A10" s="50" t="s">
        <v>68</v>
      </c>
      <c r="B10" s="51" t="s">
        <v>69</v>
      </c>
      <c r="C10" s="52" t="s">
        <v>70</v>
      </c>
      <c r="D10" s="52" t="s">
        <v>48</v>
      </c>
      <c r="F10" s="53" t="str">
        <f t="shared" si="6"/>
        <v>-</v>
      </c>
      <c r="G10" s="60">
        <v>2020</v>
      </c>
      <c r="L10" t="s">
        <v>49</v>
      </c>
      <c r="M10" t="s">
        <v>49</v>
      </c>
      <c r="O10" t="str">
        <f>IF(NOT(ISERROR( SEARCH(A10,#REF!))), "✓", "")</f>
        <v/>
      </c>
      <c r="T10" t="s">
        <v>49</v>
      </c>
      <c r="Z10" t="s">
        <v>49</v>
      </c>
      <c r="AM10" t="s">
        <v>49</v>
      </c>
      <c r="AN10" s="56"/>
    </row>
    <row r="11" spans="1:40" ht="32" x14ac:dyDescent="0.2">
      <c r="A11" s="50" t="s">
        <v>71</v>
      </c>
      <c r="B11" s="51" t="s">
        <v>72</v>
      </c>
      <c r="C11" s="52" t="s">
        <v>73</v>
      </c>
      <c r="D11" s="52" t="s">
        <v>48</v>
      </c>
      <c r="F11" s="53" t="str">
        <f t="shared" si="6"/>
        <v>-</v>
      </c>
      <c r="G11" s="60">
        <v>2020</v>
      </c>
      <c r="K11" t="s">
        <v>49</v>
      </c>
      <c r="M11" t="s">
        <v>49</v>
      </c>
      <c r="O11" t="str">
        <f>IF(NOT(ISERROR( SEARCH(A11,#REF!))), "✓", "")</f>
        <v/>
      </c>
      <c r="T11" t="s">
        <v>49</v>
      </c>
      <c r="U11" t="s">
        <v>49</v>
      </c>
      <c r="W11" t="s">
        <v>49</v>
      </c>
      <c r="AG11" t="s">
        <v>49</v>
      </c>
      <c r="AJ11" t="s">
        <v>49</v>
      </c>
      <c r="AL11" s="59"/>
      <c r="AN11" s="56"/>
    </row>
    <row r="12" spans="1:40" ht="48" x14ac:dyDescent="0.2">
      <c r="A12" s="50" t="s">
        <v>74</v>
      </c>
      <c r="B12" s="51" t="s">
        <v>75</v>
      </c>
      <c r="C12" s="52" t="s">
        <v>76</v>
      </c>
      <c r="D12" s="52" t="s">
        <v>48</v>
      </c>
      <c r="F12" s="53" t="str">
        <f t="shared" si="6"/>
        <v>-</v>
      </c>
      <c r="G12" s="60">
        <v>2020</v>
      </c>
      <c r="K12" t="s">
        <v>49</v>
      </c>
      <c r="L12" t="s">
        <v>49</v>
      </c>
      <c r="M12" t="s">
        <v>49</v>
      </c>
      <c r="O12" t="str">
        <f>IF(NOT(ISERROR( SEARCH(A12,#REF!))), "✓", "")</f>
        <v/>
      </c>
      <c r="Q12" t="s">
        <v>49</v>
      </c>
      <c r="T12" t="s">
        <v>49</v>
      </c>
      <c r="U12" t="s">
        <v>49</v>
      </c>
      <c r="V12" t="s">
        <v>49</v>
      </c>
      <c r="AC12" t="s">
        <v>49</v>
      </c>
      <c r="AL12" t="s">
        <v>49</v>
      </c>
      <c r="AN12" s="56"/>
    </row>
    <row r="13" spans="1:40" ht="32" x14ac:dyDescent="0.2">
      <c r="A13" s="50" t="s">
        <v>77</v>
      </c>
      <c r="B13" s="51" t="s">
        <v>78</v>
      </c>
      <c r="C13" t="s">
        <v>79</v>
      </c>
      <c r="D13" s="52" t="s">
        <v>48</v>
      </c>
      <c r="F13" s="53" t="str">
        <f t="shared" si="6"/>
        <v>-</v>
      </c>
      <c r="G13" s="61">
        <v>2021</v>
      </c>
      <c r="K13" t="s">
        <v>49</v>
      </c>
      <c r="M13" t="s">
        <v>49</v>
      </c>
      <c r="O13" t="str">
        <f>IF(NOT(ISERROR( SEARCH(A13,#REF!))), "✓", "")</f>
        <v/>
      </c>
      <c r="U13" t="s">
        <v>49</v>
      </c>
      <c r="W13" t="s">
        <v>49</v>
      </c>
      <c r="AG13" t="s">
        <v>49</v>
      </c>
      <c r="AL13" s="59"/>
      <c r="AN13" s="56"/>
    </row>
    <row r="14" spans="1:40" ht="80" x14ac:dyDescent="0.2">
      <c r="A14" s="50" t="s">
        <v>80</v>
      </c>
      <c r="B14" s="51" t="s">
        <v>81</v>
      </c>
      <c r="C14" s="52" t="s">
        <v>82</v>
      </c>
      <c r="D14" s="52" t="s">
        <v>48</v>
      </c>
      <c r="F14" s="53" t="str">
        <f t="shared" si="6"/>
        <v>-</v>
      </c>
      <c r="G14" s="60">
        <v>2021</v>
      </c>
      <c r="L14" t="s">
        <v>49</v>
      </c>
      <c r="M14" t="s">
        <v>49</v>
      </c>
      <c r="O14" t="str">
        <f>IF(NOT(ISERROR( SEARCH(A14,#REF!))), "✓", "")</f>
        <v/>
      </c>
      <c r="T14" t="s">
        <v>49</v>
      </c>
      <c r="U14" t="s">
        <v>49</v>
      </c>
      <c r="W14" t="s">
        <v>49</v>
      </c>
      <c r="AL14" t="s">
        <v>49</v>
      </c>
      <c r="AN14" s="56"/>
    </row>
    <row r="15" spans="1:40" ht="48" x14ac:dyDescent="0.2">
      <c r="A15" s="50" t="s">
        <v>83</v>
      </c>
      <c r="B15" s="51" t="s">
        <v>84</v>
      </c>
      <c r="C15" s="52" t="s">
        <v>85</v>
      </c>
      <c r="D15" s="52" t="s">
        <v>48</v>
      </c>
      <c r="F15" s="53" t="str">
        <f t="shared" si="6"/>
        <v>-</v>
      </c>
      <c r="G15" s="60">
        <v>2019</v>
      </c>
      <c r="K15" t="s">
        <v>49</v>
      </c>
      <c r="M15" t="s">
        <v>49</v>
      </c>
      <c r="O15" t="str">
        <f>IF(NOT(ISERROR( SEARCH(A15,#REF!))), "✓", "")</f>
        <v/>
      </c>
      <c r="T15" t="s">
        <v>49</v>
      </c>
      <c r="V15" t="s">
        <v>49</v>
      </c>
      <c r="AC15" t="s">
        <v>49</v>
      </c>
      <c r="AD15" t="s">
        <v>49</v>
      </c>
      <c r="AN15" s="56"/>
    </row>
    <row r="16" spans="1:40" ht="48" x14ac:dyDescent="0.2">
      <c r="A16" s="50" t="s">
        <v>86</v>
      </c>
      <c r="B16" s="51" t="s">
        <v>87</v>
      </c>
      <c r="C16" s="52" t="s">
        <v>88</v>
      </c>
      <c r="D16" s="52" t="s">
        <v>48</v>
      </c>
      <c r="F16" s="53" t="str">
        <f t="shared" si="6"/>
        <v>-</v>
      </c>
      <c r="G16" s="60">
        <v>2021</v>
      </c>
      <c r="L16" t="s">
        <v>49</v>
      </c>
      <c r="M16" t="s">
        <v>49</v>
      </c>
      <c r="O16" t="str">
        <f>IF(NOT(ISERROR( SEARCH(A16,#REF!))), "✓", "")</f>
        <v/>
      </c>
      <c r="U16" t="s">
        <v>49</v>
      </c>
      <c r="W16" t="s">
        <v>49</v>
      </c>
      <c r="AL16" t="s">
        <v>49</v>
      </c>
      <c r="AN16" s="56"/>
    </row>
    <row r="17" spans="1:40" ht="32" x14ac:dyDescent="0.2">
      <c r="A17" s="50" t="s">
        <v>89</v>
      </c>
      <c r="B17" s="51" t="s">
        <v>90</v>
      </c>
      <c r="C17" s="52" t="s">
        <v>91</v>
      </c>
      <c r="D17" s="52" t="s">
        <v>48</v>
      </c>
      <c r="F17" s="53" t="str">
        <f t="shared" si="6"/>
        <v>-</v>
      </c>
      <c r="G17" s="60">
        <v>2021</v>
      </c>
      <c r="K17" t="s">
        <v>49</v>
      </c>
      <c r="M17" t="s">
        <v>49</v>
      </c>
      <c r="O17" t="str">
        <f>IF(NOT(ISERROR( SEARCH(A17,#REF!))), "✓", "")</f>
        <v/>
      </c>
      <c r="U17" t="s">
        <v>49</v>
      </c>
      <c r="Z17" t="s">
        <v>49</v>
      </c>
      <c r="AG17" t="s">
        <v>49</v>
      </c>
      <c r="AJ17" t="s">
        <v>49</v>
      </c>
      <c r="AL17" s="59"/>
      <c r="AN17" s="56" t="s">
        <v>49</v>
      </c>
    </row>
    <row r="18" spans="1:40" ht="64" x14ac:dyDescent="0.2">
      <c r="A18" s="50" t="s">
        <v>92</v>
      </c>
      <c r="B18" s="51" t="s">
        <v>93</v>
      </c>
      <c r="C18" s="52" t="s">
        <v>94</v>
      </c>
      <c r="D18" s="52" t="s">
        <v>48</v>
      </c>
      <c r="F18" s="53" t="str">
        <f t="shared" si="6"/>
        <v>-</v>
      </c>
      <c r="G18" s="60">
        <v>2022</v>
      </c>
      <c r="K18" t="s">
        <v>49</v>
      </c>
      <c r="M18" t="s">
        <v>49</v>
      </c>
      <c r="O18" t="str">
        <f>IF(NOT(ISERROR( SEARCH(A18,#REF!))), "✓", "")</f>
        <v/>
      </c>
      <c r="T18" t="s">
        <v>49</v>
      </c>
      <c r="W18" t="s">
        <v>49</v>
      </c>
      <c r="AD18" t="s">
        <v>49</v>
      </c>
      <c r="AL18" t="s">
        <v>49</v>
      </c>
      <c r="AN18" s="56"/>
    </row>
    <row r="19" spans="1:40" ht="48" x14ac:dyDescent="0.2">
      <c r="A19" s="50" t="s">
        <v>95</v>
      </c>
      <c r="B19" s="51" t="s">
        <v>96</v>
      </c>
      <c r="C19" s="52" t="s">
        <v>97</v>
      </c>
      <c r="D19" s="52" t="s">
        <v>48</v>
      </c>
      <c r="F19" s="53" t="str">
        <f t="shared" si="6"/>
        <v>-</v>
      </c>
      <c r="G19" s="60">
        <v>2019</v>
      </c>
      <c r="L19" t="s">
        <v>49</v>
      </c>
      <c r="M19" t="s">
        <v>49</v>
      </c>
      <c r="O19" t="str">
        <f>IF(NOT(ISERROR( SEARCH(A19,#REF!))), "✓", "")</f>
        <v/>
      </c>
      <c r="T19" t="s">
        <v>49</v>
      </c>
      <c r="X19" t="s">
        <v>49</v>
      </c>
      <c r="AM19" t="s">
        <v>49</v>
      </c>
      <c r="AN19" s="56"/>
    </row>
    <row r="20" spans="1:40" ht="80" x14ac:dyDescent="0.2">
      <c r="A20" s="50" t="s">
        <v>98</v>
      </c>
      <c r="B20" s="51" t="s">
        <v>99</v>
      </c>
      <c r="C20" t="s">
        <v>100</v>
      </c>
      <c r="D20" s="52" t="s">
        <v>48</v>
      </c>
      <c r="E20" t="s">
        <v>49</v>
      </c>
      <c r="F20" s="53" t="str">
        <f>IF(AND(ISTEXT("https://github.com/SeUniVr/EtherSolve/"),"https://github.com/SeUniVr/EtherSolve/"&lt;&gt;""), HYPERLINK("https://github.com/SeUniVr/EtherSolve/", "Link"),"-")</f>
        <v>Link</v>
      </c>
      <c r="G20" s="62">
        <v>2021</v>
      </c>
      <c r="H20" s="53" t="s">
        <v>50</v>
      </c>
      <c r="I20" t="s">
        <v>101</v>
      </c>
      <c r="J20" t="s">
        <v>102</v>
      </c>
      <c r="K20" t="s">
        <v>49</v>
      </c>
      <c r="M20" t="s">
        <v>49</v>
      </c>
      <c r="O20" t="str">
        <f>IF(NOT(ISERROR( SEARCH(A20,#REF!))), "✓", "")</f>
        <v/>
      </c>
      <c r="T20" t="s">
        <v>49</v>
      </c>
      <c r="V20" t="s">
        <v>49</v>
      </c>
      <c r="AC20" t="s">
        <v>49</v>
      </c>
      <c r="AN20" s="56"/>
    </row>
    <row r="21" spans="1:40" ht="80" x14ac:dyDescent="0.2">
      <c r="A21" s="50" t="s">
        <v>103</v>
      </c>
      <c r="B21" s="51" t="s">
        <v>104</v>
      </c>
      <c r="C21" s="52" t="s">
        <v>105</v>
      </c>
      <c r="D21" s="52" t="s">
        <v>48</v>
      </c>
      <c r="F21" s="53" t="str">
        <f>IF(AND(ISTEXT(""),""&lt;&gt;""), HYPERLINK("", "Link"),"-")</f>
        <v>-</v>
      </c>
      <c r="G21" s="61">
        <v>2021</v>
      </c>
      <c r="K21" t="s">
        <v>49</v>
      </c>
      <c r="L21" t="s">
        <v>49</v>
      </c>
      <c r="M21" t="s">
        <v>49</v>
      </c>
      <c r="N21" t="s">
        <v>49</v>
      </c>
      <c r="O21" t="str">
        <f>IF(NOT(ISERROR( SEARCH(A21,#REF!))), "✓", "")</f>
        <v/>
      </c>
      <c r="T21" t="s">
        <v>49</v>
      </c>
      <c r="V21" t="s">
        <v>49</v>
      </c>
      <c r="Y21" t="s">
        <v>49</v>
      </c>
      <c r="AD21" t="s">
        <v>49</v>
      </c>
      <c r="AN21" s="56"/>
    </row>
    <row r="22" spans="1:40" ht="48" x14ac:dyDescent="0.2">
      <c r="A22" s="50" t="s">
        <v>106</v>
      </c>
      <c r="B22" s="51" t="s">
        <v>107</v>
      </c>
      <c r="C22" t="s">
        <v>108</v>
      </c>
      <c r="D22" s="52" t="s">
        <v>48</v>
      </c>
      <c r="E22" t="s">
        <v>49</v>
      </c>
      <c r="F22" s="53" t="str">
        <f>IF(AND(ISTEXT("https://github.com/MRdoulestar/DeeSCVHunter"),"https://github.com/MRdoulestar/DeeSCVHunter"&lt;&gt;""), HYPERLINK("https://github.com/MRdoulestar/DeeSCVHunter", "Link"),"-")</f>
        <v>Link</v>
      </c>
      <c r="G22" s="54">
        <v>2021</v>
      </c>
      <c r="H22" s="53" t="s">
        <v>59</v>
      </c>
      <c r="I22" t="s">
        <v>109</v>
      </c>
      <c r="J22" t="s">
        <v>110</v>
      </c>
      <c r="L22" t="s">
        <v>49</v>
      </c>
      <c r="M22" t="s">
        <v>49</v>
      </c>
      <c r="O22" t="str">
        <f>IF(NOT(ISERROR( SEARCH(A22,#REF!))), "✓", "")</f>
        <v/>
      </c>
      <c r="T22" t="s">
        <v>49</v>
      </c>
      <c r="V22" t="s">
        <v>49</v>
      </c>
      <c r="Z22" t="s">
        <v>49</v>
      </c>
      <c r="AM22" t="s">
        <v>49</v>
      </c>
      <c r="AN22" s="56"/>
    </row>
    <row r="23" spans="1:40" ht="64" x14ac:dyDescent="0.2">
      <c r="A23" s="50" t="s">
        <v>111</v>
      </c>
      <c r="B23" s="51" t="s">
        <v>112</v>
      </c>
      <c r="C23" s="52" t="s">
        <v>113</v>
      </c>
      <c r="D23" s="52" t="s">
        <v>48</v>
      </c>
      <c r="E23" t="s">
        <v>49</v>
      </c>
      <c r="F23" s="53" t="str">
        <f>IF(AND(ISTEXT("https://github.com/FISCO-BCOS/FISCO-BCOS"),"https://github.com/FISCO-BCOS/FISCO-BCOS"&lt;&gt;""), HYPERLINK("https://github.com/FISCO-BCOS/FISCO-BCOS", "Link"),"-")</f>
        <v>Link</v>
      </c>
      <c r="G23" s="54">
        <v>2018</v>
      </c>
      <c r="H23" s="53" t="s">
        <v>114</v>
      </c>
      <c r="I23" s="63" t="s">
        <v>115</v>
      </c>
      <c r="J23" t="s">
        <v>116</v>
      </c>
      <c r="K23" t="s">
        <v>49</v>
      </c>
      <c r="M23" t="s">
        <v>49</v>
      </c>
      <c r="O23" t="str">
        <f>IF(NOT(ISERROR( SEARCH(A23,#REF!))), "✓", "")</f>
        <v/>
      </c>
      <c r="R23" t="s">
        <v>49</v>
      </c>
      <c r="U23" t="s">
        <v>49</v>
      </c>
      <c r="V23" t="s">
        <v>49</v>
      </c>
      <c r="Z23" t="s">
        <v>49</v>
      </c>
      <c r="AL23" t="s">
        <v>49</v>
      </c>
      <c r="AN23" s="56"/>
    </row>
    <row r="24" spans="1:40" ht="80" x14ac:dyDescent="0.2">
      <c r="A24" s="50" t="s">
        <v>117</v>
      </c>
      <c r="B24" s="51" t="s">
        <v>118</v>
      </c>
      <c r="C24" t="s">
        <v>119</v>
      </c>
      <c r="D24" s="52" t="s">
        <v>48</v>
      </c>
      <c r="E24" t="s">
        <v>49</v>
      </c>
      <c r="F24" s="53" t="str">
        <f>IF(AND(ISTEXT("https://github.com/fseclab-osaka/eth2vec"),"https://github.com/fseclab-osaka/eth2vec"&lt;&gt;""), HYPERLINK("https://github.com/fseclab-osaka/eth2vec", "Link"),"-")</f>
        <v>Link</v>
      </c>
      <c r="G24" s="54">
        <v>2021</v>
      </c>
      <c r="H24" s="53" t="s">
        <v>50</v>
      </c>
      <c r="J24" t="s">
        <v>120</v>
      </c>
      <c r="K24" t="s">
        <v>49</v>
      </c>
      <c r="M24" t="s">
        <v>49</v>
      </c>
      <c r="O24" t="str">
        <f>IF(NOT(ISERROR( SEARCH(A24,#REF!))), "✓", "")</f>
        <v/>
      </c>
      <c r="T24" t="s">
        <v>49</v>
      </c>
      <c r="X24" t="s">
        <v>49</v>
      </c>
      <c r="AM24" t="s">
        <v>49</v>
      </c>
      <c r="AN24" s="56"/>
    </row>
    <row r="25" spans="1:40" ht="144" x14ac:dyDescent="0.2">
      <c r="A25" s="50" t="s">
        <v>121</v>
      </c>
      <c r="B25" s="51" t="s">
        <v>122</v>
      </c>
      <c r="C25" t="s">
        <v>123</v>
      </c>
      <c r="D25" s="52" t="s">
        <v>48</v>
      </c>
      <c r="F25" s="53" t="str">
        <f>IF(AND(ISTEXT(""),""&lt;&gt;""), HYPERLINK("", "Link"),"-")</f>
        <v>-</v>
      </c>
      <c r="G25" s="61">
        <v>2021</v>
      </c>
      <c r="K25" t="s">
        <v>49</v>
      </c>
      <c r="M25" t="s">
        <v>49</v>
      </c>
      <c r="O25" t="str">
        <f>IF(NOT(ISERROR( SEARCH(A25,#REF!))), "✓", "")</f>
        <v/>
      </c>
      <c r="P25" t="s">
        <v>49</v>
      </c>
      <c r="T25" t="s">
        <v>49</v>
      </c>
      <c r="V25" t="s">
        <v>49</v>
      </c>
      <c r="AA25" t="s">
        <v>49</v>
      </c>
      <c r="AM25" t="s">
        <v>49</v>
      </c>
      <c r="AN25" s="56"/>
    </row>
    <row r="26" spans="1:40" ht="112" x14ac:dyDescent="0.2">
      <c r="A26" s="50" t="s">
        <v>124</v>
      </c>
      <c r="B26" s="51" t="s">
        <v>125</v>
      </c>
      <c r="C26" t="s">
        <v>126</v>
      </c>
      <c r="D26" s="52" t="s">
        <v>48</v>
      </c>
      <c r="E26" t="s">
        <v>49</v>
      </c>
      <c r="F26" s="53" t="str">
        <f>IF(AND(ISTEXT("https://github.com/alopezvivar/ESAF-PSEUDOCODE"),"https://github.com/alopezvivar/ESAF-PSEUDOCODE"&lt;&gt;""), HYPERLINK("https://github.com/alopezvivar/ESAF-PSEUDOCODE", "Link"),"-")</f>
        <v>Link</v>
      </c>
      <c r="G26" s="54">
        <v>2020</v>
      </c>
      <c r="H26" s="53" t="s">
        <v>127</v>
      </c>
      <c r="J26" t="s">
        <v>128</v>
      </c>
      <c r="K26" t="s">
        <v>49</v>
      </c>
      <c r="L26" t="s">
        <v>49</v>
      </c>
      <c r="M26" t="s">
        <v>49</v>
      </c>
      <c r="O26" t="str">
        <f>IF(NOT(ISERROR( SEARCH(A26,#REF!))), "✓", "")</f>
        <v/>
      </c>
      <c r="T26" t="s">
        <v>49</v>
      </c>
      <c r="U26" t="s">
        <v>49</v>
      </c>
      <c r="AL26" t="s">
        <v>49</v>
      </c>
      <c r="AN26" s="56"/>
    </row>
    <row r="27" spans="1:40" ht="48" x14ac:dyDescent="0.2">
      <c r="A27" s="50" t="s">
        <v>129</v>
      </c>
      <c r="B27" s="51" t="s">
        <v>130</v>
      </c>
      <c r="C27" s="52" t="s">
        <v>131</v>
      </c>
      <c r="D27" s="52" t="s">
        <v>48</v>
      </c>
      <c r="F27" s="53" t="str">
        <f>IF(AND(ISTEXT(""),""&lt;&gt;""), HYPERLINK("", "Link"),"-")</f>
        <v>-</v>
      </c>
      <c r="G27" s="60">
        <v>2021</v>
      </c>
      <c r="L27" t="s">
        <v>49</v>
      </c>
      <c r="M27" t="s">
        <v>49</v>
      </c>
      <c r="O27" t="str">
        <f>IF(NOT(ISERROR( SEARCH(A27,#REF!))), "✓", "")</f>
        <v/>
      </c>
      <c r="T27" t="s">
        <v>49</v>
      </c>
      <c r="Z27" t="s">
        <v>49</v>
      </c>
      <c r="AM27" t="s">
        <v>49</v>
      </c>
      <c r="AN27" s="56"/>
    </row>
    <row r="28" spans="1:40" ht="48" x14ac:dyDescent="0.2">
      <c r="A28" s="50" t="s">
        <v>132</v>
      </c>
      <c r="B28" s="51" t="s">
        <v>133</v>
      </c>
      <c r="C28" t="s">
        <v>134</v>
      </c>
      <c r="D28" s="52" t="s">
        <v>48</v>
      </c>
      <c r="E28" t="s">
        <v>49</v>
      </c>
      <c r="F28" s="53" t="str">
        <f>IF(AND(ISTEXT("https://github.com/wuhongjun15/Peculiar"),"https://github.com/wuhongjun15/Peculiar"&lt;&gt;""), HYPERLINK("https://github.com/wuhongjun15/Peculiar", "Link"),"-")</f>
        <v>Link</v>
      </c>
      <c r="G28" s="54">
        <v>2021</v>
      </c>
      <c r="H28" s="53" t="s">
        <v>135</v>
      </c>
      <c r="J28" t="s">
        <v>110</v>
      </c>
      <c r="L28" t="s">
        <v>49</v>
      </c>
      <c r="M28" t="s">
        <v>49</v>
      </c>
      <c r="O28" t="str">
        <f>IF(NOT(ISERROR( SEARCH(A28,#REF!))), "✓", "")</f>
        <v/>
      </c>
      <c r="T28" t="s">
        <v>49</v>
      </c>
      <c r="W28" t="s">
        <v>49</v>
      </c>
      <c r="X28" t="s">
        <v>49</v>
      </c>
      <c r="AM28" t="s">
        <v>49</v>
      </c>
      <c r="AN28" s="56"/>
    </row>
    <row r="29" spans="1:40" ht="96" x14ac:dyDescent="0.2">
      <c r="A29" s="50" t="s">
        <v>136</v>
      </c>
      <c r="B29" s="51" t="s">
        <v>137</v>
      </c>
      <c r="C29" s="52" t="s">
        <v>138</v>
      </c>
      <c r="D29" s="52" t="s">
        <v>48</v>
      </c>
      <c r="F29" s="53" t="str">
        <f>IF(AND(ISTEXT(""),""&lt;&gt;""), HYPERLINK("", "Link"),"-")</f>
        <v>-</v>
      </c>
      <c r="G29" s="60">
        <v>2021</v>
      </c>
      <c r="L29" t="s">
        <v>49</v>
      </c>
      <c r="M29" t="s">
        <v>49</v>
      </c>
      <c r="O29" t="str">
        <f>IF(NOT(ISERROR( SEARCH(A29,#REF!))), "✓", "")</f>
        <v/>
      </c>
      <c r="T29" t="s">
        <v>49</v>
      </c>
      <c r="X29" t="s">
        <v>49</v>
      </c>
      <c r="Z29" t="s">
        <v>49</v>
      </c>
      <c r="AM29" t="s">
        <v>49</v>
      </c>
      <c r="AN29" s="56"/>
    </row>
    <row r="30" spans="1:40" ht="48" x14ac:dyDescent="0.2">
      <c r="A30" s="50" t="s">
        <v>139</v>
      </c>
      <c r="B30" s="51" t="s">
        <v>140</v>
      </c>
      <c r="C30" s="52" t="s">
        <v>141</v>
      </c>
      <c r="D30" s="52" t="s">
        <v>48</v>
      </c>
      <c r="F30" s="53" t="str">
        <f>IF(AND(ISTEXT(""),""&lt;&gt;""), HYPERLINK("", "Link"),"-")</f>
        <v>-</v>
      </c>
      <c r="G30" s="60">
        <v>2021</v>
      </c>
      <c r="K30" t="s">
        <v>49</v>
      </c>
      <c r="L30" t="s">
        <v>49</v>
      </c>
      <c r="M30" t="s">
        <v>49</v>
      </c>
      <c r="O30" t="str">
        <f>IF(NOT(ISERROR( SEARCH(A30,#REF!))), "✓", "")</f>
        <v/>
      </c>
      <c r="T30" t="s">
        <v>49</v>
      </c>
      <c r="V30" t="s">
        <v>49</v>
      </c>
      <c r="W30" t="s">
        <v>49</v>
      </c>
      <c r="X30" t="s">
        <v>49</v>
      </c>
      <c r="Y30" t="s">
        <v>49</v>
      </c>
      <c r="AM30" t="s">
        <v>49</v>
      </c>
      <c r="AN30" s="56"/>
    </row>
    <row r="31" spans="1:40" ht="240" x14ac:dyDescent="0.2">
      <c r="A31" s="50" t="s">
        <v>142</v>
      </c>
      <c r="B31" s="51" t="s">
        <v>143</v>
      </c>
      <c r="C31" t="s">
        <v>144</v>
      </c>
      <c r="D31" s="52" t="s">
        <v>48</v>
      </c>
      <c r="E31" t="s">
        <v>49</v>
      </c>
      <c r="F31" s="53" t="str">
        <f>IF(AND(ISTEXT("https://github.com/shomzy/EtherProv"),"https://github.com/shomzy/EtherProv"&lt;&gt;""), HYPERLINK("https://github.com/shomzy/EtherProv", "Link"),"-")</f>
        <v>Link</v>
      </c>
      <c r="G31" s="54">
        <v>2022</v>
      </c>
      <c r="H31" s="53" t="s">
        <v>145</v>
      </c>
      <c r="J31" t="s">
        <v>51</v>
      </c>
      <c r="L31" t="s">
        <v>49</v>
      </c>
      <c r="M31" t="s">
        <v>49</v>
      </c>
      <c r="N31" t="s">
        <v>49</v>
      </c>
      <c r="O31" t="str">
        <f>IF(NOT(ISERROR( SEARCH(A31,#REF!))), "✓", "")</f>
        <v/>
      </c>
      <c r="T31" t="s">
        <v>49</v>
      </c>
      <c r="U31" t="s">
        <v>49</v>
      </c>
      <c r="V31" t="s">
        <v>49</v>
      </c>
      <c r="W31" t="s">
        <v>49</v>
      </c>
      <c r="AH31" t="s">
        <v>49</v>
      </c>
      <c r="AL31" t="s">
        <v>49</v>
      </c>
      <c r="AN31" s="56" t="s">
        <v>49</v>
      </c>
    </row>
    <row r="32" spans="1:40" ht="48" x14ac:dyDescent="0.2">
      <c r="A32" s="50" t="s">
        <v>146</v>
      </c>
      <c r="B32" s="51" t="s">
        <v>147</v>
      </c>
      <c r="C32" t="s">
        <v>148</v>
      </c>
      <c r="D32" s="52" t="s">
        <v>48</v>
      </c>
      <c r="E32" t="s">
        <v>49</v>
      </c>
      <c r="F32" s="53" t="str">
        <f>IF(AND(ISTEXT("https://github.com/chaoweilanmaohahaha/SmartGift"),"https://github.com/chaoweilanmaohahaha/SmartGift"&lt;&gt;""), HYPERLINK("https://github.com/chaoweilanmaohahaha/SmartGift", "Link"),"-")</f>
        <v>Link</v>
      </c>
      <c r="G32" s="54">
        <v>2021</v>
      </c>
      <c r="H32" s="53" t="s">
        <v>145</v>
      </c>
      <c r="I32" t="s">
        <v>149</v>
      </c>
      <c r="J32" t="s">
        <v>51</v>
      </c>
      <c r="L32" t="s">
        <v>49</v>
      </c>
      <c r="M32" t="s">
        <v>49</v>
      </c>
      <c r="N32" t="s">
        <v>49</v>
      </c>
      <c r="O32" t="str">
        <f>IF(NOT(ISERROR( SEARCH(A32,#REF!))), "✓", "")</f>
        <v/>
      </c>
      <c r="T32" t="s">
        <v>49</v>
      </c>
      <c r="W32" t="s">
        <v>49</v>
      </c>
      <c r="AM32" t="s">
        <v>49</v>
      </c>
      <c r="AN32" s="56"/>
    </row>
    <row r="33" spans="1:40" ht="64" x14ac:dyDescent="0.2">
      <c r="A33" s="50" t="s">
        <v>150</v>
      </c>
      <c r="B33" s="58" t="s">
        <v>151</v>
      </c>
      <c r="C33" t="s">
        <v>152</v>
      </c>
      <c r="D33" s="52" t="s">
        <v>153</v>
      </c>
      <c r="E33" t="s">
        <v>49</v>
      </c>
      <c r="F33" s="53" t="str">
        <f>IF(AND(ISTEXT("https://github.com/Messi-Q/AMEVulDetector"),"https://github.com/Messi-Q/AMEVulDetector"&lt;&gt;""), HYPERLINK("https://github.com/Messi-Q/AMEVulDetector", "Link"),"-")</f>
        <v>Link</v>
      </c>
      <c r="G33" s="54">
        <v>2021</v>
      </c>
      <c r="H33" s="53" t="s">
        <v>55</v>
      </c>
      <c r="J33" t="s">
        <v>51</v>
      </c>
      <c r="L33" t="s">
        <v>49</v>
      </c>
      <c r="M33" t="s">
        <v>49</v>
      </c>
      <c r="O33" t="str">
        <f>IF(NOT(ISERROR( SEARCH(A33,#REF!))), "✓", "")</f>
        <v/>
      </c>
      <c r="T33" t="s">
        <v>49</v>
      </c>
      <c r="V33" t="s">
        <v>49</v>
      </c>
      <c r="W33" t="s">
        <v>49</v>
      </c>
      <c r="AK33" t="s">
        <v>49</v>
      </c>
      <c r="AM33" t="s">
        <v>49</v>
      </c>
      <c r="AN33" s="56"/>
    </row>
    <row r="34" spans="1:40" ht="96" x14ac:dyDescent="0.2">
      <c r="A34" s="50" t="s">
        <v>154</v>
      </c>
      <c r="B34" s="51" t="s">
        <v>155</v>
      </c>
      <c r="C34" s="52" t="s">
        <v>156</v>
      </c>
      <c r="D34" s="52" t="s">
        <v>48</v>
      </c>
      <c r="F34" s="53" t="str">
        <f>IF(AND(ISTEXT(""),""&lt;&gt;""), HYPERLINK("", "Link"),"-")</f>
        <v>-</v>
      </c>
      <c r="G34" s="60">
        <v>2021</v>
      </c>
      <c r="K34" t="s">
        <v>49</v>
      </c>
      <c r="M34" t="s">
        <v>49</v>
      </c>
      <c r="O34" t="str">
        <f>IF(NOT(ISERROR( SEARCH(A34,#REF!))), "✓", "")</f>
        <v/>
      </c>
      <c r="T34" t="s">
        <v>49</v>
      </c>
      <c r="Z34" t="s">
        <v>49</v>
      </c>
      <c r="AM34" t="s">
        <v>49</v>
      </c>
      <c r="AN34" s="56"/>
    </row>
    <row r="35" spans="1:40" ht="48" x14ac:dyDescent="0.2">
      <c r="A35" s="50" t="s">
        <v>157</v>
      </c>
      <c r="B35" s="51" t="s">
        <v>158</v>
      </c>
      <c r="C35" t="s">
        <v>159</v>
      </c>
      <c r="D35" s="52" t="s">
        <v>48</v>
      </c>
      <c r="F35" s="53" t="str">
        <f>IF(AND(ISTEXT(""),""&lt;&gt;""), HYPERLINK("", "Link"),"-")</f>
        <v>-</v>
      </c>
      <c r="G35" s="61">
        <v>2021</v>
      </c>
      <c r="L35" t="s">
        <v>49</v>
      </c>
      <c r="M35" t="s">
        <v>49</v>
      </c>
      <c r="O35" t="str">
        <f>IF(NOT(ISERROR( SEARCH(A35,#REF!))), "✓", "")</f>
        <v/>
      </c>
      <c r="T35" t="s">
        <v>49</v>
      </c>
      <c r="X35" t="s">
        <v>49</v>
      </c>
      <c r="AM35" t="s">
        <v>49</v>
      </c>
      <c r="AN35" s="56"/>
    </row>
    <row r="36" spans="1:40" ht="96" x14ac:dyDescent="0.2">
      <c r="A36" s="50" t="s">
        <v>160</v>
      </c>
      <c r="B36" s="51" t="s">
        <v>161</v>
      </c>
      <c r="C36" t="s">
        <v>48</v>
      </c>
      <c r="D36" s="52" t="s">
        <v>48</v>
      </c>
      <c r="E36" t="s">
        <v>49</v>
      </c>
      <c r="F36" s="53" t="str">
        <f>IF(AND(ISTEXT("https://github.com/Messi-Q/GPSCVulDetector"),"https://github.com/Messi-Q/GPSCVulDetector"&lt;&gt;""), HYPERLINK("https://github.com/Messi-Q/GPSCVulDetector", "Link"),"-")</f>
        <v>Link</v>
      </c>
      <c r="G36" s="61">
        <v>2023</v>
      </c>
      <c r="J36" t="s">
        <v>51</v>
      </c>
      <c r="L36" t="s">
        <v>49</v>
      </c>
      <c r="M36" t="s">
        <v>49</v>
      </c>
      <c r="O36" t="str">
        <f>IF(NOT(ISERROR( SEARCH(A36,#REF!))), "✓", "")</f>
        <v/>
      </c>
      <c r="T36" t="s">
        <v>49</v>
      </c>
      <c r="V36" t="s">
        <v>49</v>
      </c>
      <c r="W36" t="s">
        <v>49</v>
      </c>
      <c r="AK36" t="s">
        <v>49</v>
      </c>
      <c r="AM36" t="s">
        <v>49</v>
      </c>
      <c r="AN36" s="56"/>
    </row>
    <row r="37" spans="1:40" ht="48" x14ac:dyDescent="0.2">
      <c r="A37" s="50" t="s">
        <v>162</v>
      </c>
      <c r="B37" s="51" t="s">
        <v>163</v>
      </c>
      <c r="C37" s="52"/>
      <c r="D37" s="52" t="s">
        <v>48</v>
      </c>
      <c r="F37" s="53" t="str">
        <f t="shared" ref="F37:F43" si="7">IF(AND(ISTEXT(""),""&lt;&gt;""), HYPERLINK("", "Link"),"-")</f>
        <v>-</v>
      </c>
      <c r="G37" s="60">
        <v>2021</v>
      </c>
      <c r="K37" t="s">
        <v>49</v>
      </c>
      <c r="M37" t="s">
        <v>49</v>
      </c>
      <c r="O37" t="str">
        <f>IF(NOT(ISERROR( SEARCH(A37,#REF!))), "✓", "")</f>
        <v/>
      </c>
      <c r="T37" t="s">
        <v>49</v>
      </c>
      <c r="V37" t="s">
        <v>49</v>
      </c>
      <c r="W37" t="s">
        <v>49</v>
      </c>
      <c r="Z37" t="s">
        <v>49</v>
      </c>
      <c r="AL37" t="s">
        <v>49</v>
      </c>
      <c r="AN37" s="56"/>
    </row>
    <row r="38" spans="1:40" ht="64" x14ac:dyDescent="0.2">
      <c r="A38" s="50" t="s">
        <v>164</v>
      </c>
      <c r="B38" s="51" t="s">
        <v>165</v>
      </c>
      <c r="C38" s="52" t="s">
        <v>166</v>
      </c>
      <c r="D38" s="52" t="s">
        <v>48</v>
      </c>
      <c r="F38" s="53" t="str">
        <f t="shared" si="7"/>
        <v>-</v>
      </c>
      <c r="G38" s="60">
        <v>2020</v>
      </c>
      <c r="L38" t="s">
        <v>49</v>
      </c>
      <c r="M38" t="s">
        <v>49</v>
      </c>
      <c r="O38" t="str">
        <f>IF(NOT(ISERROR( SEARCH(A38,#REF!))), "✓", "")</f>
        <v/>
      </c>
      <c r="T38" t="s">
        <v>49</v>
      </c>
      <c r="AK38" t="s">
        <v>49</v>
      </c>
      <c r="AN38" s="56"/>
    </row>
    <row r="39" spans="1:40" ht="32" x14ac:dyDescent="0.2">
      <c r="A39" s="50" t="s">
        <v>167</v>
      </c>
      <c r="B39" s="51" t="s">
        <v>168</v>
      </c>
      <c r="C39" s="52" t="s">
        <v>169</v>
      </c>
      <c r="D39" s="52" t="s">
        <v>48</v>
      </c>
      <c r="F39" s="53" t="str">
        <f t="shared" si="7"/>
        <v>-</v>
      </c>
      <c r="G39" s="60">
        <v>2020</v>
      </c>
      <c r="L39" t="s">
        <v>49</v>
      </c>
      <c r="M39" t="s">
        <v>49</v>
      </c>
      <c r="O39" t="str">
        <f>IF(NOT(ISERROR( SEARCH(A39,#REF!))), "✓", "")</f>
        <v/>
      </c>
      <c r="T39" t="s">
        <v>49</v>
      </c>
      <c r="V39" t="s">
        <v>49</v>
      </c>
      <c r="AL39" t="s">
        <v>49</v>
      </c>
      <c r="AN39" s="56"/>
    </row>
    <row r="40" spans="1:40" ht="48" x14ac:dyDescent="0.2">
      <c r="A40" s="50" t="s">
        <v>170</v>
      </c>
      <c r="B40" s="51" t="s">
        <v>171</v>
      </c>
      <c r="C40" s="52" t="s">
        <v>172</v>
      </c>
      <c r="D40" s="52" t="s">
        <v>48</v>
      </c>
      <c r="F40" s="53" t="str">
        <f t="shared" si="7"/>
        <v>-</v>
      </c>
      <c r="G40" s="60">
        <v>2020</v>
      </c>
      <c r="L40" t="s">
        <v>49</v>
      </c>
      <c r="M40" t="s">
        <v>49</v>
      </c>
      <c r="O40" t="str">
        <f>IF(NOT(ISERROR( SEARCH(A40,#REF!))), "✓", "")</f>
        <v/>
      </c>
      <c r="T40" t="s">
        <v>49</v>
      </c>
      <c r="X40" t="s">
        <v>49</v>
      </c>
      <c r="AL40" t="s">
        <v>49</v>
      </c>
      <c r="AN40" s="56"/>
    </row>
    <row r="41" spans="1:40" ht="224" x14ac:dyDescent="0.2">
      <c r="A41" s="57" t="s">
        <v>173</v>
      </c>
      <c r="B41" s="51" t="s">
        <v>174</v>
      </c>
      <c r="C41" s="64" t="s">
        <v>175</v>
      </c>
      <c r="D41" s="52" t="s">
        <v>48</v>
      </c>
      <c r="F41" s="53" t="str">
        <f t="shared" si="7"/>
        <v>-</v>
      </c>
      <c r="G41" s="60">
        <v>2019</v>
      </c>
      <c r="K41" t="s">
        <v>49</v>
      </c>
      <c r="M41" t="s">
        <v>49</v>
      </c>
      <c r="O41" t="str">
        <f>IF(NOT(ISERROR( SEARCH(A41,#REF!))), "✓", "")</f>
        <v/>
      </c>
      <c r="T41" t="s">
        <v>49</v>
      </c>
      <c r="U41" t="s">
        <v>49</v>
      </c>
      <c r="Z41" t="s">
        <v>49</v>
      </c>
      <c r="AC41" t="s">
        <v>49</v>
      </c>
      <c r="AI41" t="s">
        <v>49</v>
      </c>
      <c r="AL41" s="59"/>
      <c r="AN41" s="56" t="s">
        <v>49</v>
      </c>
    </row>
    <row r="42" spans="1:40" ht="208" x14ac:dyDescent="0.2">
      <c r="A42" s="50" t="s">
        <v>176</v>
      </c>
      <c r="B42" s="51" t="s">
        <v>177</v>
      </c>
      <c r="C42" s="64" t="s">
        <v>178</v>
      </c>
      <c r="D42" s="52" t="s">
        <v>48</v>
      </c>
      <c r="F42" s="53" t="str">
        <f t="shared" si="7"/>
        <v>-</v>
      </c>
      <c r="G42" s="60">
        <v>2021</v>
      </c>
      <c r="K42" t="s">
        <v>49</v>
      </c>
      <c r="M42" t="s">
        <v>49</v>
      </c>
      <c r="O42" t="str">
        <f>IF(NOT(ISERROR( SEARCH(A42,#REF!))), "✓", "")</f>
        <v/>
      </c>
      <c r="T42" t="s">
        <v>49</v>
      </c>
      <c r="V42" t="s">
        <v>49</v>
      </c>
      <c r="AM42" t="s">
        <v>49</v>
      </c>
      <c r="AN42" s="56"/>
    </row>
    <row r="43" spans="1:40" ht="112" x14ac:dyDescent="0.2">
      <c r="A43" s="50" t="s">
        <v>179</v>
      </c>
      <c r="B43" s="51" t="s">
        <v>180</v>
      </c>
      <c r="C43" s="64" t="s">
        <v>181</v>
      </c>
      <c r="D43" s="52" t="s">
        <v>48</v>
      </c>
      <c r="F43" s="53" t="str">
        <f t="shared" si="7"/>
        <v>-</v>
      </c>
      <c r="G43" s="60">
        <v>2020</v>
      </c>
      <c r="L43" t="s">
        <v>49</v>
      </c>
      <c r="M43" t="s">
        <v>49</v>
      </c>
      <c r="O43" t="str">
        <f>IF(NOT(ISERROR( SEARCH(A43,#REF!))), "✓", "")</f>
        <v/>
      </c>
      <c r="T43" t="s">
        <v>49</v>
      </c>
      <c r="X43" t="s">
        <v>49</v>
      </c>
      <c r="Z43" t="s">
        <v>49</v>
      </c>
      <c r="AM43" t="s">
        <v>49</v>
      </c>
      <c r="AN43" s="56"/>
    </row>
    <row r="44" spans="1:40" ht="224" x14ac:dyDescent="0.2">
      <c r="A44" s="57" t="s">
        <v>182</v>
      </c>
      <c r="B44" s="51" t="s">
        <v>183</v>
      </c>
      <c r="C44" t="s">
        <v>184</v>
      </c>
      <c r="D44" s="64" t="s">
        <v>185</v>
      </c>
      <c r="E44" t="s">
        <v>49</v>
      </c>
      <c r="F44" s="53" t="str">
        <f>IF(AND(ISTEXT("https://github.com/EVMFuzzer/EVMFuzzer"),"https://github.com/EVMFuzzer/EVMFuzzer"&lt;&gt;""), HYPERLINK("https://github.com/EVMFuzzer/EVMFuzzer", "Link"),"-")</f>
        <v>Link</v>
      </c>
      <c r="G44" s="54">
        <v>2019</v>
      </c>
      <c r="H44" s="53" t="s">
        <v>186</v>
      </c>
      <c r="J44" t="s">
        <v>51</v>
      </c>
      <c r="K44" t="s">
        <v>49</v>
      </c>
      <c r="M44" t="s">
        <v>49</v>
      </c>
      <c r="O44" t="str">
        <f>IF(NOT(ISERROR( SEARCH(A44,#REF!))), "✓", "")</f>
        <v/>
      </c>
      <c r="U44" t="s">
        <v>49</v>
      </c>
      <c r="W44" t="s">
        <v>49</v>
      </c>
      <c r="AG44" t="s">
        <v>49</v>
      </c>
      <c r="AJ44" t="s">
        <v>49</v>
      </c>
      <c r="AN44" s="56"/>
    </row>
    <row r="45" spans="1:40" ht="112" x14ac:dyDescent="0.2">
      <c r="A45" s="57" t="s">
        <v>187</v>
      </c>
      <c r="B45" s="51" t="s">
        <v>188</v>
      </c>
      <c r="C45" t="s">
        <v>189</v>
      </c>
      <c r="F45" s="53" t="str">
        <f>IF(AND(ISTEXT(""),""&lt;&gt;""), HYPERLINK("", "Link"),"-")</f>
        <v>-</v>
      </c>
      <c r="G45" s="60">
        <v>2022</v>
      </c>
      <c r="K45" t="s">
        <v>49</v>
      </c>
      <c r="M45" t="s">
        <v>49</v>
      </c>
      <c r="O45" t="str">
        <f>IF(NOT(ISERROR( SEARCH(A45,#REF!))), "✓", "")</f>
        <v/>
      </c>
      <c r="T45" t="s">
        <v>49</v>
      </c>
      <c r="Z45" t="s">
        <v>49</v>
      </c>
      <c r="AM45" t="s">
        <v>49</v>
      </c>
      <c r="AN45" s="56"/>
    </row>
    <row r="46" spans="1:40" ht="192" x14ac:dyDescent="0.2">
      <c r="A46" s="50" t="s">
        <v>190</v>
      </c>
      <c r="B46" s="51" t="s">
        <v>191</v>
      </c>
      <c r="C46" s="64" t="s">
        <v>192</v>
      </c>
      <c r="D46" s="64" t="s">
        <v>185</v>
      </c>
      <c r="E46" t="s">
        <v>49</v>
      </c>
      <c r="F46" s="53" t="str">
        <f>IF(AND(ISTEXT("https://github.com/uni-due-syssec/evmpatch-developer-study"),"https://github.com/uni-due-syssec/evmpatch-developer-study"&lt;&gt;""), HYPERLINK("https://github.com/uni-due-syssec/evmpatch-developer-study", "Link"),"-")</f>
        <v>Link</v>
      </c>
      <c r="G46" s="54">
        <v>2021</v>
      </c>
      <c r="H46" s="53" t="s">
        <v>193</v>
      </c>
      <c r="J46" t="s">
        <v>51</v>
      </c>
      <c r="K46" t="s">
        <v>49</v>
      </c>
      <c r="M46" t="s">
        <v>49</v>
      </c>
      <c r="N46" t="s">
        <v>49</v>
      </c>
      <c r="O46" t="str">
        <f>IF(NOT(ISERROR( SEARCH(A46,#REF!))), "✓", "")</f>
        <v/>
      </c>
      <c r="P46" t="s">
        <v>49</v>
      </c>
      <c r="R46" t="s">
        <v>49</v>
      </c>
      <c r="T46" t="s">
        <v>49</v>
      </c>
      <c r="U46" t="s">
        <v>49</v>
      </c>
      <c r="V46" t="s">
        <v>49</v>
      </c>
      <c r="AE46" t="s">
        <v>49</v>
      </c>
      <c r="AL46" s="59"/>
      <c r="AN46" s="56"/>
    </row>
    <row r="47" spans="1:40" ht="80" x14ac:dyDescent="0.2">
      <c r="A47" s="50" t="s">
        <v>194</v>
      </c>
      <c r="B47" s="51" t="s">
        <v>195</v>
      </c>
      <c r="C47" t="s">
        <v>196</v>
      </c>
      <c r="E47" t="s">
        <v>49</v>
      </c>
      <c r="F47" s="53" t="str">
        <f>IF(AND(ISTEXT("https://github.com/s00ne/SmartConDetect"),"https://github.com/s00ne/SmartConDetect"&lt;&gt;""), HYPERLINK("https://github.com/s00ne/SmartConDetect", "Link"),"-")</f>
        <v>Link</v>
      </c>
      <c r="G47" s="54">
        <v>2023</v>
      </c>
      <c r="H47" s="53" t="s">
        <v>197</v>
      </c>
      <c r="L47" t="s">
        <v>49</v>
      </c>
      <c r="M47" t="s">
        <v>49</v>
      </c>
      <c r="O47" t="str">
        <f>IF(NOT(ISERROR( SEARCH(A47,#REF!))), "✓", "")</f>
        <v/>
      </c>
      <c r="T47" t="s">
        <v>49</v>
      </c>
      <c r="Z47" t="s">
        <v>49</v>
      </c>
      <c r="AK47" t="s">
        <v>49</v>
      </c>
      <c r="AM47" t="s">
        <v>49</v>
      </c>
      <c r="AN47" s="56"/>
    </row>
    <row r="48" spans="1:40" ht="80" x14ac:dyDescent="0.2">
      <c r="A48" s="57" t="s">
        <v>198</v>
      </c>
      <c r="B48" s="51" t="s">
        <v>199</v>
      </c>
      <c r="C48" t="s">
        <v>200</v>
      </c>
      <c r="D48" s="64" t="s">
        <v>201</v>
      </c>
      <c r="E48" t="s">
        <v>49</v>
      </c>
      <c r="F48" s="53" t="str">
        <f>IF(AND(ISTEXT("https://github.com/ToolmanInside/xfuzz_tool "),"https://github.com/ToolmanInside/xfuzz_tool "&lt;&gt;""), HYPERLINK("https://github.com/ToolmanInside/xfuzz_tool ", "Link"),"-")</f>
        <v>Link</v>
      </c>
      <c r="G48" s="54">
        <v>2022</v>
      </c>
      <c r="H48" s="53" t="s">
        <v>202</v>
      </c>
      <c r="J48" t="s">
        <v>116</v>
      </c>
      <c r="L48" t="s">
        <v>49</v>
      </c>
      <c r="M48" t="s">
        <v>49</v>
      </c>
      <c r="N48" t="s">
        <v>49</v>
      </c>
      <c r="O48" t="str">
        <f>IF(NOT(ISERROR( SEARCH(A48,#REF!))), "✓", "")</f>
        <v/>
      </c>
      <c r="T48" t="s">
        <v>49</v>
      </c>
      <c r="U48" t="s">
        <v>49</v>
      </c>
      <c r="V48" t="s">
        <v>49</v>
      </c>
      <c r="X48" t="s">
        <v>49</v>
      </c>
      <c r="AG48" t="s">
        <v>49</v>
      </c>
      <c r="AM48" t="s">
        <v>49</v>
      </c>
      <c r="AN48" s="56"/>
    </row>
    <row r="49" spans="1:40" ht="208" x14ac:dyDescent="0.2">
      <c r="A49" s="57" t="s">
        <v>203</v>
      </c>
      <c r="B49" s="51" t="s">
        <v>204</v>
      </c>
      <c r="C49" t="s">
        <v>205</v>
      </c>
      <c r="D49" s="64" t="s">
        <v>201</v>
      </c>
      <c r="E49" t="s">
        <v>49</v>
      </c>
      <c r="F49" s="53" t="str">
        <f>IF(AND(ISTEXT("https://github.com/Demonhero0/rlf"),"https://github.com/Demonhero0/rlf"&lt;&gt;""), HYPERLINK("https://github.com/Demonhero0/rlf", "Link"),"-")</f>
        <v>Link</v>
      </c>
      <c r="G49" s="54">
        <v>2022</v>
      </c>
      <c r="H49" s="53" t="s">
        <v>206</v>
      </c>
      <c r="J49" t="s">
        <v>51</v>
      </c>
      <c r="L49" t="s">
        <v>49</v>
      </c>
      <c r="M49" t="s">
        <v>49</v>
      </c>
      <c r="O49" t="str">
        <f>IF(NOT(ISERROR( SEARCH(A49,#REF!))), "✓", "")</f>
        <v/>
      </c>
      <c r="U49" t="s">
        <v>49</v>
      </c>
      <c r="W49" t="s">
        <v>49</v>
      </c>
      <c r="AG49" t="s">
        <v>49</v>
      </c>
      <c r="AM49" t="s">
        <v>49</v>
      </c>
      <c r="AN49" s="56"/>
    </row>
    <row r="50" spans="1:40" ht="80" x14ac:dyDescent="0.2">
      <c r="A50" s="57" t="s">
        <v>207</v>
      </c>
      <c r="B50" s="51" t="s">
        <v>208</v>
      </c>
      <c r="C50" t="s">
        <v>209</v>
      </c>
      <c r="D50" s="64" t="s">
        <v>201</v>
      </c>
      <c r="E50" t="s">
        <v>49</v>
      </c>
      <c r="F50" s="53" t="str">
        <f>IF(AND(ISTEXT("https://github.com/Messi-Q/IR-Fuzz"),"https://github.com/Messi-Q/IR-Fuzz"&lt;&gt;""), HYPERLINK("https://github.com/Messi-Q/IR-Fuzz", "Link"),"-")</f>
        <v>Link</v>
      </c>
      <c r="G50" s="54">
        <v>2023</v>
      </c>
      <c r="H50" s="53" t="s">
        <v>210</v>
      </c>
      <c r="J50" t="s">
        <v>116</v>
      </c>
      <c r="L50" t="s">
        <v>49</v>
      </c>
      <c r="M50" t="s">
        <v>49</v>
      </c>
      <c r="N50" t="s">
        <v>49</v>
      </c>
      <c r="O50" t="str">
        <f>IF(NOT(ISERROR( SEARCH(A50,#REF!))), "✓", "")</f>
        <v/>
      </c>
      <c r="U50" t="s">
        <v>49</v>
      </c>
      <c r="W50" t="s">
        <v>49</v>
      </c>
      <c r="X50" t="s">
        <v>49</v>
      </c>
      <c r="AG50" t="s">
        <v>49</v>
      </c>
      <c r="AJ50" t="s">
        <v>49</v>
      </c>
      <c r="AL50" s="59"/>
      <c r="AN50" s="56"/>
    </row>
    <row r="51" spans="1:40" ht="240" x14ac:dyDescent="0.2">
      <c r="A51" s="57" t="s">
        <v>211</v>
      </c>
      <c r="B51" s="51" t="s">
        <v>212</v>
      </c>
      <c r="C51" t="s">
        <v>213</v>
      </c>
      <c r="D51" s="64" t="s">
        <v>201</v>
      </c>
      <c r="E51" t="s">
        <v>49</v>
      </c>
      <c r="F51" s="53" t="str">
        <f>IF(AND(ISTEXT("https://github.com/fuzzland/ityfuzz"),"https://github.com/fuzzland/ityfuzz"&lt;&gt;""), HYPERLINK("https://github.com/fuzzland/ityfuzz", "Link"),"-")</f>
        <v>Link</v>
      </c>
      <c r="G51" s="54">
        <v>2023</v>
      </c>
      <c r="H51" s="53" t="s">
        <v>214</v>
      </c>
      <c r="I51" t="s">
        <v>215</v>
      </c>
      <c r="J51" t="s">
        <v>216</v>
      </c>
      <c r="L51" t="s">
        <v>49</v>
      </c>
      <c r="M51" t="s">
        <v>49</v>
      </c>
      <c r="N51" t="s">
        <v>49</v>
      </c>
      <c r="O51" t="str">
        <f>IF(NOT(ISERROR( SEARCH(A51,#REF!))), "✓", "")</f>
        <v/>
      </c>
      <c r="U51" t="s">
        <v>49</v>
      </c>
      <c r="W51" t="s">
        <v>49</v>
      </c>
      <c r="AG51" t="s">
        <v>49</v>
      </c>
      <c r="AJ51" t="s">
        <v>49</v>
      </c>
      <c r="AL51" s="59"/>
      <c r="AN51" s="56"/>
    </row>
    <row r="52" spans="1:40" ht="32" x14ac:dyDescent="0.2">
      <c r="A52" s="57" t="s">
        <v>217</v>
      </c>
      <c r="B52" s="51" t="s">
        <v>218</v>
      </c>
      <c r="C52" s="64" t="s">
        <v>219</v>
      </c>
      <c r="D52" s="64" t="s">
        <v>201</v>
      </c>
      <c r="E52" t="s">
        <v>49</v>
      </c>
      <c r="F52" s="53" t="str">
        <f>IF(AND(ISTEXT("https://github.com/wesleyjtann/Safe-SmartContracts"),"https://github.com/wesleyjtann/Safe-SmartContracts"&lt;&gt;""), HYPERLINK("https://github.com/wesleyjtann/Safe-SmartContracts", "Link"),"-")</f>
        <v>Link</v>
      </c>
      <c r="G52" s="54">
        <v>2019</v>
      </c>
      <c r="H52" s="53" t="s">
        <v>220</v>
      </c>
      <c r="J52" t="s">
        <v>221</v>
      </c>
      <c r="K52" t="s">
        <v>49</v>
      </c>
      <c r="M52" t="s">
        <v>49</v>
      </c>
      <c r="O52" t="str">
        <f>IF(NOT(ISERROR( SEARCH(A52,#REF!))), "✓", "")</f>
        <v/>
      </c>
      <c r="Q52" t="s">
        <v>49</v>
      </c>
      <c r="T52" t="s">
        <v>49</v>
      </c>
      <c r="Z52" t="s">
        <v>49</v>
      </c>
      <c r="AM52" t="s">
        <v>49</v>
      </c>
      <c r="AN52" s="56"/>
    </row>
    <row r="53" spans="1:40" ht="64" x14ac:dyDescent="0.2">
      <c r="A53" s="57" t="s">
        <v>222</v>
      </c>
      <c r="B53" s="51" t="s">
        <v>223</v>
      </c>
      <c r="C53" s="64" t="s">
        <v>224</v>
      </c>
      <c r="D53" s="64" t="s">
        <v>225</v>
      </c>
      <c r="E53" t="s">
        <v>49</v>
      </c>
      <c r="F53" s="53" t="str">
        <f>IF(AND(ISTEXT("https://github.com/Messi-Q/ReChecker"),"https://github.com/Messi-Q/ReChecker"&lt;&gt;""), HYPERLINK("https://github.com/Messi-Q/ReChecker", "Link"),"-")</f>
        <v>Link</v>
      </c>
      <c r="G53" s="54">
        <v>2020</v>
      </c>
      <c r="H53" s="53" t="s">
        <v>226</v>
      </c>
      <c r="J53" t="s">
        <v>51</v>
      </c>
      <c r="L53" t="s">
        <v>49</v>
      </c>
      <c r="M53" t="s">
        <v>49</v>
      </c>
      <c r="O53" t="str">
        <f>IF(NOT(ISERROR( SEARCH(A53,#REF!))), "✓", "")</f>
        <v/>
      </c>
      <c r="T53" t="s">
        <v>49</v>
      </c>
      <c r="Z53" t="s">
        <v>49</v>
      </c>
      <c r="AM53" t="s">
        <v>49</v>
      </c>
      <c r="AN53" s="56"/>
    </row>
    <row r="54" spans="1:40" ht="48" x14ac:dyDescent="0.2">
      <c r="A54" s="50" t="s">
        <v>227</v>
      </c>
      <c r="B54" s="51" t="s">
        <v>228</v>
      </c>
      <c r="C54" s="64" t="s">
        <v>229</v>
      </c>
      <c r="D54" s="64" t="s">
        <v>201</v>
      </c>
      <c r="F54" s="53" t="str">
        <f>IF(AND(ISTEXT(""),""&lt;&gt;""), HYPERLINK("", "Link"),"-")</f>
        <v>-</v>
      </c>
      <c r="G54" s="60">
        <v>2023</v>
      </c>
      <c r="L54" t="s">
        <v>49</v>
      </c>
      <c r="M54" t="s">
        <v>49</v>
      </c>
      <c r="O54" t="str">
        <f>IF(NOT(ISERROR( SEARCH(A54,#REF!))), "✓", "")</f>
        <v/>
      </c>
      <c r="T54" t="s">
        <v>49</v>
      </c>
      <c r="V54" t="s">
        <v>49</v>
      </c>
      <c r="AM54" t="s">
        <v>49</v>
      </c>
      <c r="AN54" s="56"/>
    </row>
    <row r="55" spans="1:40" ht="80" x14ac:dyDescent="0.2">
      <c r="A55" s="57" t="s">
        <v>230</v>
      </c>
      <c r="B55" s="51" t="s">
        <v>231</v>
      </c>
      <c r="C55" s="64" t="s">
        <v>232</v>
      </c>
      <c r="D55" s="64" t="s">
        <v>201</v>
      </c>
      <c r="F55" s="53" t="str">
        <f>IF(AND(ISTEXT(""),""&lt;&gt;""), HYPERLINK("", "Link"),"-")</f>
        <v>-</v>
      </c>
      <c r="G55" s="60">
        <v>2022</v>
      </c>
      <c r="L55" t="s">
        <v>49</v>
      </c>
      <c r="M55" t="s">
        <v>49</v>
      </c>
      <c r="N55" t="s">
        <v>49</v>
      </c>
      <c r="O55" t="str">
        <f>IF(NOT(ISERROR( SEARCH(A55,#REF!))), "✓", "")</f>
        <v/>
      </c>
      <c r="R55" t="s">
        <v>49</v>
      </c>
      <c r="T55" t="s">
        <v>49</v>
      </c>
      <c r="V55" t="s">
        <v>49</v>
      </c>
      <c r="W55" t="s">
        <v>49</v>
      </c>
      <c r="X55" t="s">
        <v>49</v>
      </c>
      <c r="Y55" t="s">
        <v>49</v>
      </c>
      <c r="Z55" t="s">
        <v>49</v>
      </c>
      <c r="AN55" s="56"/>
    </row>
    <row r="56" spans="1:40" ht="48" x14ac:dyDescent="0.2">
      <c r="A56" s="57" t="s">
        <v>233</v>
      </c>
      <c r="B56" s="51" t="s">
        <v>234</v>
      </c>
      <c r="C56" s="64" t="s">
        <v>235</v>
      </c>
      <c r="D56" s="64" t="s">
        <v>201</v>
      </c>
      <c r="E56" t="s">
        <v>49</v>
      </c>
      <c r="F56" s="53" t="str">
        <f>IF(AND(ISTEXT("https://sites.google.com/view/ase2022-definery"),"https://sites.google.com/view/ase2022-definery"&lt;&gt;""), HYPERLINK("https://sites.google.com/view/ase2022-definery", "Link"),"-")</f>
        <v>Link</v>
      </c>
      <c r="G56" s="54">
        <v>2022</v>
      </c>
      <c r="H56" s="53" t="s">
        <v>236</v>
      </c>
      <c r="J56" t="s">
        <v>237</v>
      </c>
      <c r="L56" t="s">
        <v>49</v>
      </c>
      <c r="M56" t="s">
        <v>49</v>
      </c>
      <c r="N56" t="s">
        <v>49</v>
      </c>
      <c r="O56" t="str">
        <f>IF(NOT(ISERROR( SEARCH(A56,#REF!))), "✓", "")</f>
        <v/>
      </c>
      <c r="P56" t="s">
        <v>49</v>
      </c>
      <c r="R56" t="s">
        <v>49</v>
      </c>
      <c r="S56" t="s">
        <v>49</v>
      </c>
      <c r="T56" t="s">
        <v>49</v>
      </c>
      <c r="U56" t="s">
        <v>49</v>
      </c>
      <c r="W56" t="s">
        <v>49</v>
      </c>
      <c r="AC56" t="s">
        <v>49</v>
      </c>
      <c r="AJ56" t="s">
        <v>49</v>
      </c>
      <c r="AL56" s="59"/>
      <c r="AN56" s="56"/>
    </row>
    <row r="57" spans="1:40" ht="112" x14ac:dyDescent="0.2">
      <c r="A57" s="57" t="s">
        <v>185</v>
      </c>
      <c r="B57" s="51" t="s">
        <v>238</v>
      </c>
      <c r="C57" t="s">
        <v>185</v>
      </c>
      <c r="F57" s="53" t="str">
        <f>IF(AND(ISTEXT(""),""&lt;&gt;""), HYPERLINK("", "Link"),"-")</f>
        <v>-</v>
      </c>
      <c r="G57" s="65">
        <v>2021</v>
      </c>
      <c r="L57" t="s">
        <v>49</v>
      </c>
      <c r="M57" t="s">
        <v>49</v>
      </c>
      <c r="O57" t="str">
        <f>IF(NOT(ISERROR( SEARCH(A57,#REF!))), "✓", "")</f>
        <v/>
      </c>
      <c r="T57" t="s">
        <v>49</v>
      </c>
      <c r="X57" t="s">
        <v>49</v>
      </c>
      <c r="AM57" t="s">
        <v>49</v>
      </c>
      <c r="AN57" s="56"/>
    </row>
    <row r="58" spans="1:40" ht="128" x14ac:dyDescent="0.2">
      <c r="A58" s="57" t="s">
        <v>239</v>
      </c>
      <c r="B58" s="51" t="s">
        <v>240</v>
      </c>
      <c r="C58" t="s">
        <v>241</v>
      </c>
      <c r="E58" t="s">
        <v>49</v>
      </c>
      <c r="F58" s="53" t="str">
        <f>IF(AND(ISTEXT("https://github.com/SmartContractTools/SmartFast/tree/main"),"https://github.com/SmartContractTools/SmartFast/tree/main"&lt;&gt;""), HYPERLINK("https://github.com/SmartContractTools/SmartFast/tree/main", "Link"),"-")</f>
        <v>Link</v>
      </c>
      <c r="G58" s="54">
        <v>2022</v>
      </c>
      <c r="H58" s="53" t="s">
        <v>206</v>
      </c>
      <c r="J58" t="s">
        <v>51</v>
      </c>
      <c r="L58" t="s">
        <v>49</v>
      </c>
      <c r="M58" t="s">
        <v>49</v>
      </c>
      <c r="N58" t="s">
        <v>49</v>
      </c>
      <c r="O58" t="str">
        <f>IF(NOT(ISERROR( SEARCH(A58,#REF!))), "✓", "")</f>
        <v/>
      </c>
      <c r="S58" t="s">
        <v>49</v>
      </c>
      <c r="T58" t="s">
        <v>49</v>
      </c>
      <c r="V58" t="s">
        <v>49</v>
      </c>
      <c r="Z58" t="s">
        <v>49</v>
      </c>
      <c r="AK58" t="s">
        <v>49</v>
      </c>
      <c r="AN58" s="56" t="s">
        <v>49</v>
      </c>
    </row>
    <row r="59" spans="1:40" ht="64" x14ac:dyDescent="0.2">
      <c r="A59" s="57" t="s">
        <v>242</v>
      </c>
      <c r="B59" s="51" t="s">
        <v>243</v>
      </c>
      <c r="C59" t="s">
        <v>244</v>
      </c>
      <c r="F59" s="53" t="str">
        <f>IF(AND(ISTEXT(""),""&lt;&gt;""), HYPERLINK("", "Link"),"-")</f>
        <v>-</v>
      </c>
      <c r="G59" s="65">
        <v>2023</v>
      </c>
      <c r="L59" t="s">
        <v>49</v>
      </c>
      <c r="M59" t="s">
        <v>49</v>
      </c>
      <c r="O59" t="str">
        <f>IF(NOT(ISERROR( SEARCH(A59,#REF!))), "✓", "")</f>
        <v/>
      </c>
      <c r="T59" t="s">
        <v>49</v>
      </c>
      <c r="X59" t="s">
        <v>49</v>
      </c>
      <c r="Z59" t="s">
        <v>49</v>
      </c>
      <c r="AK59" t="s">
        <v>49</v>
      </c>
      <c r="AN59" s="56"/>
    </row>
    <row r="60" spans="1:40" ht="48" x14ac:dyDescent="0.2">
      <c r="A60" s="57" t="s">
        <v>245</v>
      </c>
      <c r="B60" s="51" t="s">
        <v>246</v>
      </c>
      <c r="C60" t="s">
        <v>247</v>
      </c>
      <c r="E60" t="s">
        <v>49</v>
      </c>
      <c r="F60" s="53" t="str">
        <f>IF(AND(ISTEXT("https://github.com/MorenaBarboni/SuMo-SOlidity-Mutator"),"https://github.com/MorenaBarboni/SuMo-SOlidity-Mutator"&lt;&gt;""), HYPERLINK("https://github.com/MorenaBarboni/SuMo-SOlidity-Mutator", "Link"),"-")</f>
        <v>Link</v>
      </c>
      <c r="G60" s="54">
        <v>2022</v>
      </c>
      <c r="H60" s="53" t="s">
        <v>202</v>
      </c>
      <c r="I60" t="s">
        <v>248</v>
      </c>
      <c r="J60" t="s">
        <v>249</v>
      </c>
      <c r="L60" t="s">
        <v>49</v>
      </c>
      <c r="M60" t="s">
        <v>49</v>
      </c>
      <c r="N60" t="s">
        <v>49</v>
      </c>
      <c r="O60" t="str">
        <f>IF(NOT(ISERROR( SEARCH(A60,#REF!))), "✓", "")</f>
        <v/>
      </c>
      <c r="S60" t="s">
        <v>49</v>
      </c>
      <c r="U60" t="s">
        <v>49</v>
      </c>
      <c r="X60" t="s">
        <v>49</v>
      </c>
      <c r="AJ60" t="s">
        <v>49</v>
      </c>
      <c r="AL60" s="59"/>
      <c r="AN60" s="56"/>
    </row>
    <row r="61" spans="1:40" ht="96" x14ac:dyDescent="0.2">
      <c r="A61" s="57" t="s">
        <v>250</v>
      </c>
      <c r="B61" s="51" t="s">
        <v>251</v>
      </c>
      <c r="C61" t="s">
        <v>252</v>
      </c>
      <c r="F61" s="53" t="str">
        <f>IF(AND(ISTEXT(""),""&lt;&gt;""), HYPERLINK("", "Link"),"-")</f>
        <v>-</v>
      </c>
      <c r="G61" s="65">
        <v>2023</v>
      </c>
      <c r="L61" t="s">
        <v>49</v>
      </c>
      <c r="M61" t="s">
        <v>49</v>
      </c>
      <c r="N61" t="s">
        <v>49</v>
      </c>
      <c r="O61" t="str">
        <f>IF(NOT(ISERROR( SEARCH(A61,#REF!))), "✓", "")</f>
        <v/>
      </c>
      <c r="S61" t="s">
        <v>49</v>
      </c>
      <c r="T61" t="s">
        <v>49</v>
      </c>
      <c r="U61" t="s">
        <v>49</v>
      </c>
      <c r="X61" t="s">
        <v>49</v>
      </c>
      <c r="AJ61" t="s">
        <v>49</v>
      </c>
      <c r="AL61" s="59"/>
      <c r="AN61" s="56"/>
    </row>
    <row r="62" spans="1:40" ht="240" x14ac:dyDescent="0.2">
      <c r="A62" s="57" t="s">
        <v>253</v>
      </c>
      <c r="B62" s="51" t="s">
        <v>254</v>
      </c>
      <c r="C62" t="s">
        <v>255</v>
      </c>
      <c r="D62" s="64" t="s">
        <v>126</v>
      </c>
      <c r="F62" s="53" t="str">
        <f>IF(AND(ISTEXT(""),""&lt;&gt;""), HYPERLINK("", "Link"),"-")</f>
        <v>-</v>
      </c>
      <c r="G62" s="65">
        <v>2022</v>
      </c>
      <c r="K62" t="s">
        <v>49</v>
      </c>
      <c r="M62" t="s">
        <v>49</v>
      </c>
      <c r="O62" t="str">
        <f>IF(NOT(ISERROR( SEARCH(A62,#REF!))), "✓", "")</f>
        <v/>
      </c>
      <c r="T62" t="s">
        <v>49</v>
      </c>
      <c r="Z62" t="s">
        <v>49</v>
      </c>
      <c r="AM62" t="s">
        <v>49</v>
      </c>
      <c r="AN62" s="56"/>
    </row>
    <row r="63" spans="1:40" ht="96" x14ac:dyDescent="0.2">
      <c r="A63" s="57" t="s">
        <v>256</v>
      </c>
      <c r="B63" s="51" t="s">
        <v>257</v>
      </c>
      <c r="C63" t="s">
        <v>258</v>
      </c>
      <c r="D63" s="64" t="s">
        <v>126</v>
      </c>
      <c r="E63" t="s">
        <v>49</v>
      </c>
      <c r="F63" s="53" t="str">
        <f>IF(AND(ISTEXT("https://github.com/woods1060/M-A-R"),"https://github.com/woods1060/M-A-R"&lt;&gt;""), HYPERLINK("https://github.com/woods1060/M-A-R", "Link"),"-")</f>
        <v>Link</v>
      </c>
      <c r="G63" s="54">
        <v>2021</v>
      </c>
      <c r="H63" s="53" t="s">
        <v>193</v>
      </c>
      <c r="J63" t="s">
        <v>51</v>
      </c>
      <c r="L63" t="s">
        <v>49</v>
      </c>
      <c r="M63" t="s">
        <v>49</v>
      </c>
      <c r="O63" t="str">
        <f>IF(NOT(ISERROR( SEARCH(A63,#REF!))), "✓", "")</f>
        <v/>
      </c>
      <c r="U63" t="s">
        <v>49</v>
      </c>
      <c r="W63" t="s">
        <v>49</v>
      </c>
      <c r="AC63" t="s">
        <v>49</v>
      </c>
      <c r="AI63" t="s">
        <v>49</v>
      </c>
      <c r="AN63" s="56"/>
    </row>
    <row r="64" spans="1:40" ht="48" x14ac:dyDescent="0.2">
      <c r="A64" s="57" t="s">
        <v>259</v>
      </c>
      <c r="B64" s="51" t="s">
        <v>260</v>
      </c>
      <c r="C64" t="s">
        <v>261</v>
      </c>
      <c r="D64" s="64" t="s">
        <v>126</v>
      </c>
      <c r="F64" s="53" t="str">
        <f>IF(AND(ISTEXT(""),""&lt;&gt;""), HYPERLINK("", "Link"),"-")</f>
        <v>-</v>
      </c>
      <c r="G64" s="60">
        <v>2021</v>
      </c>
      <c r="L64" t="s">
        <v>49</v>
      </c>
      <c r="M64" t="s">
        <v>49</v>
      </c>
      <c r="O64" t="str">
        <f>IF(NOT(ISERROR( SEARCH(A64,#REF!))), "✓", "")</f>
        <v/>
      </c>
      <c r="Q64" t="s">
        <v>49</v>
      </c>
      <c r="T64" t="s">
        <v>49</v>
      </c>
      <c r="W64" t="s">
        <v>49</v>
      </c>
      <c r="AC64" t="s">
        <v>49</v>
      </c>
      <c r="AN64" s="56"/>
    </row>
    <row r="65" spans="1:40" ht="64" x14ac:dyDescent="0.2">
      <c r="A65" s="57" t="s">
        <v>262</v>
      </c>
      <c r="B65" s="51" t="s">
        <v>263</v>
      </c>
      <c r="C65" t="s">
        <v>264</v>
      </c>
      <c r="D65" t="s">
        <v>265</v>
      </c>
      <c r="E65" t="s">
        <v>49</v>
      </c>
      <c r="F65" s="53" t="str">
        <f>IF(AND(ISTEXT("https://github.com/msuiche/porosity"),"https://github.com/msuiche/porosity"&lt;&gt;""), HYPERLINK("https://github.com/msuiche/porosity", "Link"),"-")</f>
        <v>Link</v>
      </c>
      <c r="G65" s="54">
        <v>2017</v>
      </c>
      <c r="H65" s="53" t="s">
        <v>266</v>
      </c>
      <c r="J65" t="s">
        <v>116</v>
      </c>
      <c r="K65" t="s">
        <v>49</v>
      </c>
      <c r="O65" t="str">
        <f>IF(NOT(ISERROR( SEARCH(A65,#REF!))), "✓", "")</f>
        <v/>
      </c>
      <c r="T65" t="s">
        <v>49</v>
      </c>
      <c r="U65" t="s">
        <v>49</v>
      </c>
      <c r="Y65" t="s">
        <v>49</v>
      </c>
      <c r="AN65" s="56"/>
    </row>
    <row r="66" spans="1:40" ht="160" x14ac:dyDescent="0.2">
      <c r="A66" s="57" t="s">
        <v>267</v>
      </c>
      <c r="B66" s="51" t="s">
        <v>268</v>
      </c>
      <c r="C66" t="s">
        <v>269</v>
      </c>
      <c r="E66" t="s">
        <v>49</v>
      </c>
      <c r="F66" s="53" t="str">
        <f>IF(AND(ISTEXT("https://github.com/MANDO-Project/ge-sc-machine"),"https://github.com/MANDO-Project/ge-sc-machine"&lt;&gt;""), HYPERLINK("https://github.com/MANDO-Project/ge-sc-machine", "Link"),"-")</f>
        <v>Link</v>
      </c>
      <c r="G66" s="54">
        <v>2022</v>
      </c>
      <c r="H66" s="53" t="s">
        <v>270</v>
      </c>
      <c r="J66" t="s">
        <v>51</v>
      </c>
      <c r="L66" t="s">
        <v>49</v>
      </c>
      <c r="M66" t="s">
        <v>49</v>
      </c>
      <c r="O66" t="str">
        <f>IF(NOT(ISERROR( SEARCH(A66,#REF!))), "✓", "")</f>
        <v/>
      </c>
      <c r="T66" t="s">
        <v>49</v>
      </c>
      <c r="V66" t="s">
        <v>49</v>
      </c>
      <c r="AM66" t="s">
        <v>49</v>
      </c>
      <c r="AN66" s="56"/>
    </row>
    <row r="67" spans="1:40" ht="192" x14ac:dyDescent="0.2">
      <c r="A67" s="57" t="s">
        <v>271</v>
      </c>
      <c r="B67" s="51" t="s">
        <v>272</v>
      </c>
      <c r="C67" t="s">
        <v>273</v>
      </c>
      <c r="E67" t="s">
        <v>49</v>
      </c>
      <c r="F67" s="53" t="str">
        <f>IF(AND(ISTEXT("https://github.com/MANDO-Project/ge-sc-transformer"),"https://github.com/MANDO-Project/ge-sc-transformer"&lt;&gt;""), HYPERLINK("https://github.com/MANDO-Project/ge-sc-transformer", "Link"),"-")</f>
        <v>Link</v>
      </c>
      <c r="G67" s="54">
        <v>2023</v>
      </c>
      <c r="H67" s="53" t="s">
        <v>210</v>
      </c>
      <c r="J67" t="s">
        <v>51</v>
      </c>
      <c r="K67" t="s">
        <v>49</v>
      </c>
      <c r="L67" t="s">
        <v>49</v>
      </c>
      <c r="M67" t="s">
        <v>49</v>
      </c>
      <c r="O67" t="str">
        <f>IF(NOT(ISERROR( SEARCH(A67,#REF!))), "✓", "")</f>
        <v/>
      </c>
      <c r="T67" t="s">
        <v>49</v>
      </c>
      <c r="V67" t="s">
        <v>49</v>
      </c>
      <c r="AM67" t="s">
        <v>49</v>
      </c>
      <c r="AN67" s="56"/>
    </row>
    <row r="68" spans="1:40" ht="80" x14ac:dyDescent="0.2">
      <c r="A68" s="57" t="s">
        <v>274</v>
      </c>
      <c r="B68" s="51" t="s">
        <v>275</v>
      </c>
      <c r="C68" t="s">
        <v>276</v>
      </c>
      <c r="F68" s="53" t="str">
        <f>IF(AND(ISTEXT(""),""&lt;&gt;""), HYPERLINK("", "Link"),"-")</f>
        <v>-</v>
      </c>
      <c r="G68" s="65">
        <v>2023</v>
      </c>
      <c r="L68" t="s">
        <v>49</v>
      </c>
      <c r="M68" t="s">
        <v>49</v>
      </c>
      <c r="O68" t="str">
        <f>IF(NOT(ISERROR( SEARCH(A68,#REF!))), "✓", "")</f>
        <v/>
      </c>
      <c r="T68" t="s">
        <v>49</v>
      </c>
      <c r="Z68" t="s">
        <v>49</v>
      </c>
      <c r="AM68" t="s">
        <v>49</v>
      </c>
      <c r="AN68" s="56"/>
    </row>
    <row r="69" spans="1:40" ht="176" x14ac:dyDescent="0.2">
      <c r="A69" s="57" t="s">
        <v>277</v>
      </c>
      <c r="B69" s="51" t="s">
        <v>278</v>
      </c>
      <c r="C69" t="s">
        <v>279</v>
      </c>
      <c r="F69" s="53" t="str">
        <f>IF(AND(ISTEXT(""),""&lt;&gt;""), HYPERLINK("", "Link"),"-")</f>
        <v>-</v>
      </c>
      <c r="G69" s="54">
        <v>2023</v>
      </c>
      <c r="H69" s="53" t="s">
        <v>280</v>
      </c>
      <c r="L69" t="s">
        <v>49</v>
      </c>
      <c r="M69" t="s">
        <v>49</v>
      </c>
      <c r="O69" t="str">
        <f>IF(NOT(ISERROR( SEARCH(A69,#REF!))), "✓", "")</f>
        <v/>
      </c>
      <c r="T69" t="s">
        <v>49</v>
      </c>
      <c r="U69" t="s">
        <v>49</v>
      </c>
      <c r="V69" t="s">
        <v>49</v>
      </c>
      <c r="AC69" t="s">
        <v>49</v>
      </c>
      <c r="AD69" t="s">
        <v>49</v>
      </c>
      <c r="AM69" t="s">
        <v>49</v>
      </c>
      <c r="AN69" s="56"/>
    </row>
    <row r="70" spans="1:40" ht="128" x14ac:dyDescent="0.2">
      <c r="A70" s="57" t="s">
        <v>281</v>
      </c>
      <c r="B70" s="51" t="s">
        <v>282</v>
      </c>
      <c r="C70" t="s">
        <v>283</v>
      </c>
      <c r="E70" t="s">
        <v>49</v>
      </c>
      <c r="F70" s="53" t="str">
        <f>IF(AND(ISTEXT("https://github.com/ToolmanInside/vulpedia_demo"),"https://github.com/ToolmanInside/vulpedia_demo"&lt;&gt;""), HYPERLINK("https://github.com/ToolmanInside/vulpedia_demo", "Link"),"-")</f>
        <v>Link</v>
      </c>
      <c r="G70" s="54">
        <v>2022</v>
      </c>
      <c r="H70" s="53" t="s">
        <v>202</v>
      </c>
      <c r="J70" t="s">
        <v>51</v>
      </c>
      <c r="L70" t="s">
        <v>49</v>
      </c>
      <c r="M70" t="s">
        <v>49</v>
      </c>
      <c r="O70" t="str">
        <f>IF(NOT(ISERROR( SEARCH(A70,#REF!))), "✓", "")</f>
        <v/>
      </c>
      <c r="T70" t="s">
        <v>49</v>
      </c>
      <c r="X70" t="s">
        <v>49</v>
      </c>
      <c r="AL70" t="s">
        <v>49</v>
      </c>
      <c r="AN70" s="56"/>
    </row>
    <row r="71" spans="1:40" ht="48" x14ac:dyDescent="0.2">
      <c r="A71" s="57" t="s">
        <v>284</v>
      </c>
      <c r="B71" s="51" t="s">
        <v>285</v>
      </c>
      <c r="C71" t="s">
        <v>286</v>
      </c>
      <c r="F71" s="53" t="str">
        <f>IF(AND(ISTEXT(""),""&lt;&gt;""), HYPERLINK("", "Link"),"-")</f>
        <v>-</v>
      </c>
      <c r="G71" s="61">
        <v>2021</v>
      </c>
      <c r="K71" t="s">
        <v>49</v>
      </c>
      <c r="L71" t="s">
        <v>49</v>
      </c>
      <c r="M71" t="s">
        <v>49</v>
      </c>
      <c r="O71" t="str">
        <f>IF(NOT(ISERROR( SEARCH(A71,#REF!))), "✓", "")</f>
        <v/>
      </c>
      <c r="T71" t="s">
        <v>49</v>
      </c>
      <c r="V71" t="s">
        <v>49</v>
      </c>
      <c r="AC71" t="s">
        <v>49</v>
      </c>
      <c r="AN71" s="56"/>
    </row>
    <row r="72" spans="1:40" ht="208" x14ac:dyDescent="0.2">
      <c r="A72" s="57" t="s">
        <v>287</v>
      </c>
      <c r="B72" s="51" t="s">
        <v>288</v>
      </c>
      <c r="C72" t="s">
        <v>289</v>
      </c>
      <c r="F72" s="53" t="str">
        <f>IF(AND(ISTEXT(""),""&lt;&gt;""), HYPERLINK("", "Link"),"-")</f>
        <v>-</v>
      </c>
      <c r="G72" s="65">
        <v>2024</v>
      </c>
      <c r="L72" t="s">
        <v>49</v>
      </c>
      <c r="M72" t="s">
        <v>49</v>
      </c>
      <c r="O72" t="str">
        <f>IF(NOT(ISERROR( SEARCH(A72,#REF!))), "✓", "")</f>
        <v/>
      </c>
      <c r="T72" t="s">
        <v>49</v>
      </c>
      <c r="Z72" t="s">
        <v>49</v>
      </c>
      <c r="AM72" t="s">
        <v>49</v>
      </c>
      <c r="AN72" s="56"/>
    </row>
    <row r="73" spans="1:40" ht="80" x14ac:dyDescent="0.2">
      <c r="A73" s="57" t="s">
        <v>290</v>
      </c>
      <c r="B73" s="51" t="s">
        <v>291</v>
      </c>
      <c r="C73" t="s">
        <v>292</v>
      </c>
      <c r="F73" s="53" t="str">
        <f>IF(AND(ISTEXT(""),""&lt;&gt;""), HYPERLINK("", "Link"),"-")</f>
        <v>-</v>
      </c>
      <c r="G73" s="65">
        <v>2021</v>
      </c>
      <c r="L73" t="s">
        <v>49</v>
      </c>
      <c r="M73" t="s">
        <v>49</v>
      </c>
      <c r="O73" t="str">
        <f>IF(NOT(ISERROR( SEARCH(A73,#REF!))), "✓", "")</f>
        <v/>
      </c>
      <c r="U73" t="s">
        <v>49</v>
      </c>
      <c r="W73" t="s">
        <v>49</v>
      </c>
      <c r="AH73" t="s">
        <v>49</v>
      </c>
      <c r="AM73" t="s">
        <v>49</v>
      </c>
      <c r="AN73" s="56"/>
    </row>
    <row r="74" spans="1:40" ht="64" x14ac:dyDescent="0.2">
      <c r="A74" s="57" t="s">
        <v>293</v>
      </c>
      <c r="B74" s="51" t="s">
        <v>294</v>
      </c>
      <c r="C74" t="s">
        <v>295</v>
      </c>
      <c r="F74" s="53" t="str">
        <f>IF(AND(ISTEXT(""),""&lt;&gt;""), HYPERLINK("", "Link"),"-")</f>
        <v>-</v>
      </c>
      <c r="G74" s="65">
        <v>2022</v>
      </c>
      <c r="L74" t="s">
        <v>49</v>
      </c>
      <c r="M74" t="s">
        <v>49</v>
      </c>
      <c r="N74" t="s">
        <v>49</v>
      </c>
      <c r="O74" t="str">
        <f>IF(NOT(ISERROR( SEARCH(A74,#REF!))), "✓", "")</f>
        <v/>
      </c>
      <c r="P74" t="s">
        <v>49</v>
      </c>
      <c r="R74" t="s">
        <v>49</v>
      </c>
      <c r="S74" t="s">
        <v>49</v>
      </c>
      <c r="T74" t="s">
        <v>49</v>
      </c>
      <c r="V74" t="s">
        <v>49</v>
      </c>
      <c r="X74" t="s">
        <v>49</v>
      </c>
      <c r="AL74" t="s">
        <v>49</v>
      </c>
      <c r="AN74" s="56"/>
    </row>
    <row r="75" spans="1:40" ht="96" x14ac:dyDescent="0.2">
      <c r="A75" s="57" t="s">
        <v>296</v>
      </c>
      <c r="B75" s="51" t="s">
        <v>297</v>
      </c>
      <c r="C75" t="s">
        <v>298</v>
      </c>
      <c r="D75" s="64" t="s">
        <v>159</v>
      </c>
      <c r="E75" t="s">
        <v>49</v>
      </c>
      <c r="F75" s="53" t="str">
        <f>IF(AND(ISTEXT("https://github.com/christoftorres/ConFuzzius"),"https://github.com/christoftorres/ConFuzzius"&lt;&gt;""), HYPERLINK("https://github.com/christoftorres/ConFuzzius", "Link"),"-")</f>
        <v>Link</v>
      </c>
      <c r="G75" s="54">
        <v>2021</v>
      </c>
      <c r="H75" s="53" t="s">
        <v>299</v>
      </c>
      <c r="I75" t="s">
        <v>300</v>
      </c>
      <c r="J75" t="s">
        <v>51</v>
      </c>
      <c r="L75" t="s">
        <v>49</v>
      </c>
      <c r="M75" t="s">
        <v>49</v>
      </c>
      <c r="N75" t="s">
        <v>49</v>
      </c>
      <c r="O75" t="str">
        <f>IF(NOT(ISERROR( SEARCH(A75,#REF!))), "✓", "")</f>
        <v/>
      </c>
      <c r="T75" t="s">
        <v>49</v>
      </c>
      <c r="U75" t="s">
        <v>49</v>
      </c>
      <c r="W75" t="s">
        <v>49</v>
      </c>
      <c r="AC75" t="s">
        <v>49</v>
      </c>
      <c r="AD75" t="s">
        <v>49</v>
      </c>
      <c r="AG75" t="s">
        <v>49</v>
      </c>
      <c r="AJ75" t="s">
        <v>49</v>
      </c>
      <c r="AN75" s="56" t="s">
        <v>49</v>
      </c>
    </row>
    <row r="76" spans="1:40" ht="128" x14ac:dyDescent="0.2">
      <c r="A76" s="57" t="s">
        <v>301</v>
      </c>
      <c r="B76" s="51" t="s">
        <v>302</v>
      </c>
      <c r="C76" t="s">
        <v>303</v>
      </c>
      <c r="F76" s="53" t="str">
        <f t="shared" ref="F76:F84" si="8">IF(AND(ISTEXT(""),""&lt;&gt;""), HYPERLINK("", "Link"),"-")</f>
        <v>-</v>
      </c>
      <c r="G76" s="65">
        <v>2023</v>
      </c>
      <c r="L76" t="s">
        <v>49</v>
      </c>
      <c r="M76" t="s">
        <v>49</v>
      </c>
      <c r="O76" t="str">
        <f>IF(NOT(ISERROR( SEARCH(A76,#REF!))), "✓", "")</f>
        <v/>
      </c>
      <c r="T76" t="s">
        <v>49</v>
      </c>
      <c r="V76" t="s">
        <v>49</v>
      </c>
      <c r="X76" t="s">
        <v>49</v>
      </c>
      <c r="AM76" t="s">
        <v>49</v>
      </c>
      <c r="AN76" s="56"/>
    </row>
    <row r="77" spans="1:40" ht="96" x14ac:dyDescent="0.2">
      <c r="A77" s="57" t="s">
        <v>304</v>
      </c>
      <c r="B77" s="51" t="s">
        <v>305</v>
      </c>
      <c r="C77" t="s">
        <v>306</v>
      </c>
      <c r="F77" s="53" t="str">
        <f t="shared" si="8"/>
        <v>-</v>
      </c>
      <c r="G77" s="65">
        <v>2023</v>
      </c>
      <c r="L77" t="s">
        <v>49</v>
      </c>
      <c r="M77" t="s">
        <v>49</v>
      </c>
      <c r="O77" t="str">
        <f>IF(NOT(ISERROR( SEARCH(A77,#REF!))), "✓", "")</f>
        <v/>
      </c>
      <c r="T77" t="s">
        <v>49</v>
      </c>
      <c r="V77" t="s">
        <v>49</v>
      </c>
      <c r="X77" t="s">
        <v>49</v>
      </c>
      <c r="Z77" t="s">
        <v>49</v>
      </c>
      <c r="AF77" t="s">
        <v>49</v>
      </c>
      <c r="AN77" s="56"/>
    </row>
    <row r="78" spans="1:40" ht="96" x14ac:dyDescent="0.2">
      <c r="A78" s="57" t="s">
        <v>307</v>
      </c>
      <c r="B78" s="51" t="s">
        <v>308</v>
      </c>
      <c r="C78" t="s">
        <v>309</v>
      </c>
      <c r="F78" s="53" t="str">
        <f t="shared" si="8"/>
        <v>-</v>
      </c>
      <c r="G78" s="65">
        <v>2023</v>
      </c>
      <c r="L78" t="s">
        <v>49</v>
      </c>
      <c r="M78" t="s">
        <v>49</v>
      </c>
      <c r="O78" t="str">
        <f>IF(NOT(ISERROR( SEARCH(A78,#REF!))), "✓", "")</f>
        <v/>
      </c>
      <c r="T78" t="s">
        <v>49</v>
      </c>
      <c r="Z78" t="s">
        <v>49</v>
      </c>
      <c r="AM78" t="s">
        <v>49</v>
      </c>
      <c r="AN78" s="56"/>
    </row>
    <row r="79" spans="1:40" ht="48" x14ac:dyDescent="0.2">
      <c r="A79" s="57" t="s">
        <v>310</v>
      </c>
      <c r="B79" s="51" t="s">
        <v>311</v>
      </c>
      <c r="C79" t="s">
        <v>312</v>
      </c>
      <c r="F79" s="53" t="str">
        <f t="shared" si="8"/>
        <v>-</v>
      </c>
      <c r="G79" s="65">
        <v>2023</v>
      </c>
      <c r="L79" t="s">
        <v>49</v>
      </c>
      <c r="M79" t="s">
        <v>49</v>
      </c>
      <c r="O79" t="str">
        <f>IF(NOT(ISERROR( SEARCH(A79,#REF!))), "✓", "")</f>
        <v/>
      </c>
      <c r="T79" t="s">
        <v>49</v>
      </c>
      <c r="V79" t="s">
        <v>49</v>
      </c>
      <c r="AM79" t="s">
        <v>49</v>
      </c>
      <c r="AN79" s="56"/>
    </row>
    <row r="80" spans="1:40" ht="48" x14ac:dyDescent="0.2">
      <c r="A80" s="57" t="s">
        <v>313</v>
      </c>
      <c r="B80" s="51" t="s">
        <v>314</v>
      </c>
      <c r="C80" t="s">
        <v>201</v>
      </c>
      <c r="F80" s="53" t="str">
        <f t="shared" si="8"/>
        <v>-</v>
      </c>
      <c r="G80" s="65">
        <v>2023</v>
      </c>
      <c r="K80" t="s">
        <v>49</v>
      </c>
      <c r="L80" t="s">
        <v>49</v>
      </c>
      <c r="M80" t="s">
        <v>49</v>
      </c>
      <c r="O80" t="str">
        <f>IF(NOT(ISERROR( SEARCH(A80,#REF!))), "✓", "")</f>
        <v/>
      </c>
      <c r="T80" t="s">
        <v>49</v>
      </c>
      <c r="Y80" t="s">
        <v>49</v>
      </c>
      <c r="AM80" t="s">
        <v>49</v>
      </c>
      <c r="AN80" s="56"/>
    </row>
    <row r="81" spans="1:40" ht="32" x14ac:dyDescent="0.2">
      <c r="A81" s="57" t="s">
        <v>315</v>
      </c>
      <c r="B81" s="51" t="s">
        <v>316</v>
      </c>
      <c r="C81" t="s">
        <v>317</v>
      </c>
      <c r="F81" s="53" t="str">
        <f t="shared" si="8"/>
        <v>-</v>
      </c>
      <c r="G81" s="65">
        <v>2024</v>
      </c>
      <c r="L81" t="s">
        <v>49</v>
      </c>
      <c r="M81" t="s">
        <v>49</v>
      </c>
      <c r="O81" t="str">
        <f>IF(NOT(ISERROR( SEARCH(A81,#REF!))), "✓", "")</f>
        <v/>
      </c>
      <c r="T81" t="s">
        <v>49</v>
      </c>
      <c r="U81" t="s">
        <v>49</v>
      </c>
      <c r="W81" t="s">
        <v>49</v>
      </c>
      <c r="AM81" t="s">
        <v>49</v>
      </c>
      <c r="AN81" s="56"/>
    </row>
    <row r="82" spans="1:40" ht="96" x14ac:dyDescent="0.2">
      <c r="A82" s="57" t="s">
        <v>318</v>
      </c>
      <c r="B82" s="51" t="s">
        <v>319</v>
      </c>
      <c r="C82" t="s">
        <v>320</v>
      </c>
      <c r="F82" s="53" t="str">
        <f t="shared" si="8"/>
        <v>-</v>
      </c>
      <c r="G82" s="65">
        <v>2023</v>
      </c>
      <c r="L82" t="s">
        <v>49</v>
      </c>
      <c r="M82" t="s">
        <v>49</v>
      </c>
      <c r="O82" t="str">
        <f>IF(NOT(ISERROR( SEARCH(A82,#REF!))), "✓", "")</f>
        <v/>
      </c>
      <c r="T82" t="s">
        <v>49</v>
      </c>
      <c r="W82" t="s">
        <v>49</v>
      </c>
      <c r="Z82" t="s">
        <v>49</v>
      </c>
      <c r="AM82" t="s">
        <v>49</v>
      </c>
      <c r="AN82" s="56"/>
    </row>
    <row r="83" spans="1:40" ht="32" x14ac:dyDescent="0.2">
      <c r="A83" s="57" t="s">
        <v>321</v>
      </c>
      <c r="B83" s="51" t="s">
        <v>322</v>
      </c>
      <c r="C83" s="66" t="s">
        <v>323</v>
      </c>
      <c r="F83" s="53" t="str">
        <f t="shared" si="8"/>
        <v>-</v>
      </c>
      <c r="G83" s="65">
        <v>2023</v>
      </c>
      <c r="L83" t="s">
        <v>49</v>
      </c>
      <c r="M83" t="s">
        <v>49</v>
      </c>
      <c r="N83" t="s">
        <v>49</v>
      </c>
      <c r="O83" t="str">
        <f>IF(NOT(ISERROR( SEARCH(A83,#REF!))), "✓", "")</f>
        <v/>
      </c>
      <c r="T83" t="s">
        <v>49</v>
      </c>
      <c r="V83" t="s">
        <v>49</v>
      </c>
      <c r="Z83" t="s">
        <v>49</v>
      </c>
      <c r="AC83" t="s">
        <v>49</v>
      </c>
      <c r="AF83" t="s">
        <v>49</v>
      </c>
      <c r="AM83" t="s">
        <v>49</v>
      </c>
      <c r="AN83" s="56"/>
    </row>
    <row r="84" spans="1:40" ht="64" x14ac:dyDescent="0.2">
      <c r="A84" s="57" t="s">
        <v>324</v>
      </c>
      <c r="B84" s="51" t="s">
        <v>325</v>
      </c>
      <c r="C84" t="s">
        <v>326</v>
      </c>
      <c r="E84" s="64"/>
      <c r="F84" s="53" t="str">
        <f t="shared" si="8"/>
        <v>-</v>
      </c>
      <c r="G84" s="65">
        <v>2023</v>
      </c>
      <c r="L84" t="s">
        <v>49</v>
      </c>
      <c r="M84" t="s">
        <v>49</v>
      </c>
      <c r="O84" t="str">
        <f>IF(NOT(ISERROR( SEARCH(A84,#REF!))), "✓", "")</f>
        <v/>
      </c>
      <c r="T84" t="s">
        <v>49</v>
      </c>
      <c r="W84" t="s">
        <v>49</v>
      </c>
      <c r="AM84" t="s">
        <v>49</v>
      </c>
      <c r="AN84" s="56"/>
    </row>
    <row r="85" spans="1:40" ht="64" x14ac:dyDescent="0.2">
      <c r="A85" s="57" t="s">
        <v>327</v>
      </c>
      <c r="B85" s="51" t="s">
        <v>328</v>
      </c>
      <c r="C85" t="s">
        <v>329</v>
      </c>
      <c r="E85" t="s">
        <v>49</v>
      </c>
      <c r="F85" s="53" t="str">
        <f>IF(AND(ISTEXT("https://github.com/majdsoud/AutoMESC-Framework"),"https://github.com/majdsoud/AutoMESC-Framework"&lt;&gt;""), HYPERLINK("https://github.com/majdsoud/AutoMESC-Framework", "Link"),"-")</f>
        <v>Link</v>
      </c>
      <c r="G85" s="54">
        <v>2023</v>
      </c>
      <c r="H85" s="53" t="s">
        <v>197</v>
      </c>
      <c r="J85" t="s">
        <v>51</v>
      </c>
      <c r="K85" t="s">
        <v>49</v>
      </c>
      <c r="L85" t="s">
        <v>49</v>
      </c>
      <c r="M85" t="s">
        <v>49</v>
      </c>
      <c r="N85" t="s">
        <v>49</v>
      </c>
      <c r="O85" t="str">
        <f>IF(NOT(ISERROR( SEARCH(A85,#REF!))), "✓", "")</f>
        <v/>
      </c>
      <c r="R85" t="s">
        <v>49</v>
      </c>
      <c r="S85" t="s">
        <v>49</v>
      </c>
      <c r="T85" t="s">
        <v>49</v>
      </c>
      <c r="U85" t="s">
        <v>49</v>
      </c>
      <c r="AK85" t="s">
        <v>49</v>
      </c>
      <c r="AN85" s="56" t="s">
        <v>49</v>
      </c>
    </row>
    <row r="86" spans="1:40" ht="64" x14ac:dyDescent="0.2">
      <c r="A86" s="57" t="s">
        <v>330</v>
      </c>
      <c r="B86" s="51" t="s">
        <v>331</v>
      </c>
      <c r="C86" t="s">
        <v>332</v>
      </c>
      <c r="F86" s="53" t="str">
        <f>IF(AND(ISTEXT(""),""&lt;&gt;""), HYPERLINK("", "Link"),"-")</f>
        <v>-</v>
      </c>
      <c r="G86" s="65">
        <v>2023</v>
      </c>
      <c r="L86" t="s">
        <v>49</v>
      </c>
      <c r="N86" t="s">
        <v>49</v>
      </c>
      <c r="O86" t="str">
        <f>IF(NOT(ISERROR( SEARCH(A86,#REF!))), "✓", "")</f>
        <v/>
      </c>
      <c r="S86" t="s">
        <v>49</v>
      </c>
      <c r="U86" t="s">
        <v>49</v>
      </c>
      <c r="V86" t="s">
        <v>49</v>
      </c>
      <c r="X86" t="s">
        <v>49</v>
      </c>
      <c r="AJ86" t="s">
        <v>49</v>
      </c>
      <c r="AN86" s="56"/>
    </row>
    <row r="87" spans="1:40" ht="64" x14ac:dyDescent="0.2">
      <c r="A87" s="57" t="s">
        <v>333</v>
      </c>
      <c r="B87" s="51" t="s">
        <v>334</v>
      </c>
      <c r="C87" t="s">
        <v>335</v>
      </c>
      <c r="E87" t="s">
        <v>49</v>
      </c>
      <c r="F87" s="53" t="str">
        <f>IF(AND(ISTEXT("https://github.com/Messi-Q/RNVulDet"),"https://github.com/Messi-Q/RNVulDet"&lt;&gt;""), HYPERLINK("https://github.com/Messi-Q/RNVulDet", "Link"),"-")</f>
        <v>Link</v>
      </c>
      <c r="G87" s="54">
        <v>2023</v>
      </c>
      <c r="H87" s="53" t="s">
        <v>336</v>
      </c>
      <c r="J87" t="s">
        <v>51</v>
      </c>
      <c r="K87" t="s">
        <v>49</v>
      </c>
      <c r="M87" t="s">
        <v>49</v>
      </c>
      <c r="O87" t="str">
        <f>IF(NOT(ISERROR( SEARCH(A87,#REF!))), "✓", "")</f>
        <v/>
      </c>
      <c r="T87" t="s">
        <v>49</v>
      </c>
      <c r="U87" t="s">
        <v>49</v>
      </c>
      <c r="V87" t="s">
        <v>49</v>
      </c>
      <c r="AA87" t="s">
        <v>49</v>
      </c>
      <c r="AC87" t="s">
        <v>49</v>
      </c>
      <c r="AK87" t="s">
        <v>49</v>
      </c>
      <c r="AN87" s="56" t="s">
        <v>49</v>
      </c>
    </row>
    <row r="88" spans="1:40" ht="128" x14ac:dyDescent="0.2">
      <c r="A88" s="57" t="s">
        <v>337</v>
      </c>
      <c r="B88" s="51" t="s">
        <v>338</v>
      </c>
      <c r="C88" t="s">
        <v>339</v>
      </c>
      <c r="E88" t="s">
        <v>49</v>
      </c>
      <c r="F88" s="53" t="str">
        <f>IF(AND(ISTEXT("https://github.com/yzu-wjl/SCVDIE"),"https://github.com/yzu-wjl/SCVDIE"&lt;&gt;""), HYPERLINK("https://github.com/yzu-wjl/SCVDIE", "Link"),"-")</f>
        <v>Link</v>
      </c>
      <c r="G88" s="54">
        <v>2022</v>
      </c>
      <c r="H88" s="53" t="s">
        <v>340</v>
      </c>
      <c r="J88" t="s">
        <v>51</v>
      </c>
      <c r="L88" t="s">
        <v>49</v>
      </c>
      <c r="M88" t="s">
        <v>49</v>
      </c>
      <c r="O88" t="str">
        <f>IF(NOT(ISERROR( SEARCH(A88,#REF!))), "✓", "")</f>
        <v/>
      </c>
      <c r="T88" t="s">
        <v>49</v>
      </c>
      <c r="W88" t="s">
        <v>49</v>
      </c>
      <c r="AM88" t="s">
        <v>49</v>
      </c>
      <c r="AN88" s="56"/>
    </row>
    <row r="89" spans="1:40" ht="48" x14ac:dyDescent="0.2">
      <c r="A89" s="50" t="s">
        <v>341</v>
      </c>
      <c r="B89" s="51" t="s">
        <v>342</v>
      </c>
      <c r="C89" t="s">
        <v>343</v>
      </c>
      <c r="E89" t="s">
        <v>49</v>
      </c>
      <c r="F89" s="53" t="str">
        <f>IF(AND(ISTEXT("https://github.com/DependableSystemsLab/eTainter"),"https://github.com/DependableSystemsLab/eTainter"&lt;&gt;""), HYPERLINK("https://github.com/DependableSystemsLab/eTainter", "Link"),"-")</f>
        <v>Link</v>
      </c>
      <c r="G89" s="54">
        <v>2022</v>
      </c>
      <c r="H89" s="53" t="s">
        <v>300</v>
      </c>
      <c r="J89" t="s">
        <v>51</v>
      </c>
      <c r="K89" t="s">
        <v>49</v>
      </c>
      <c r="M89" t="s">
        <v>49</v>
      </c>
      <c r="O89" t="str">
        <f>IF(NOT(ISERROR( SEARCH(A89,#REF!))), "✓", "")</f>
        <v/>
      </c>
      <c r="T89" t="s">
        <v>49</v>
      </c>
      <c r="V89" t="s">
        <v>49</v>
      </c>
      <c r="AN89" s="56" t="s">
        <v>49</v>
      </c>
    </row>
    <row r="90" spans="1:40" ht="80" x14ac:dyDescent="0.2">
      <c r="A90" s="57" t="s">
        <v>344</v>
      </c>
      <c r="B90" s="51" t="s">
        <v>345</v>
      </c>
      <c r="C90" t="s">
        <v>346</v>
      </c>
      <c r="F90" s="53" t="str">
        <f>IF(AND(ISTEXT(""),""&lt;&gt;""), HYPERLINK("", "Link"),"-")</f>
        <v>-</v>
      </c>
      <c r="G90" s="65">
        <v>2022</v>
      </c>
      <c r="K90" t="s">
        <v>49</v>
      </c>
      <c r="O90" t="str">
        <f>IF(NOT(ISERROR( SEARCH(A90,#REF!))), "✓", "")</f>
        <v/>
      </c>
      <c r="S90" t="s">
        <v>49</v>
      </c>
      <c r="T90" t="s">
        <v>49</v>
      </c>
      <c r="U90" t="s">
        <v>49</v>
      </c>
      <c r="W90" t="s">
        <v>49</v>
      </c>
      <c r="AC90" t="s">
        <v>49</v>
      </c>
      <c r="AL90" s="59"/>
      <c r="AN90" s="56"/>
    </row>
    <row r="91" spans="1:40" ht="112" x14ac:dyDescent="0.2">
      <c r="A91" s="57" t="s">
        <v>347</v>
      </c>
      <c r="B91" s="51" t="s">
        <v>348</v>
      </c>
      <c r="C91" t="s">
        <v>349</v>
      </c>
      <c r="E91" t="s">
        <v>49</v>
      </c>
      <c r="F91" s="53" t="str">
        <f>IF(AND(ISTEXT("https://github.com/DependableSystemsLab/Achecker"),"https://github.com/DependableSystemsLab/Achecker"&lt;&gt;""), HYPERLINK("https://github.com/DependableSystemsLab/Achecker", "Link"),"-")</f>
        <v>Link</v>
      </c>
      <c r="G91" s="54">
        <v>2023</v>
      </c>
      <c r="H91" s="53" t="s">
        <v>109</v>
      </c>
      <c r="J91" t="s">
        <v>51</v>
      </c>
      <c r="K91" t="s">
        <v>49</v>
      </c>
      <c r="M91" t="s">
        <v>49</v>
      </c>
      <c r="O91" t="str">
        <f>IF(NOT(ISERROR( SEARCH(A91,#REF!))), "✓", "")</f>
        <v/>
      </c>
      <c r="T91" t="s">
        <v>49</v>
      </c>
      <c r="W91" t="s">
        <v>49</v>
      </c>
      <c r="AC91" t="s">
        <v>49</v>
      </c>
      <c r="AN91" s="56" t="s">
        <v>49</v>
      </c>
    </row>
    <row r="92" spans="1:40" ht="48" x14ac:dyDescent="0.2">
      <c r="A92" s="57" t="s">
        <v>350</v>
      </c>
      <c r="B92" s="51" t="s">
        <v>351</v>
      </c>
      <c r="C92" t="s">
        <v>352</v>
      </c>
      <c r="E92" t="s">
        <v>49</v>
      </c>
      <c r="F92" s="53" t="str">
        <f>IF(AND(ISTEXT("https://github.com/Jiashuo-Zhang/Siguard"),"https://github.com/Jiashuo-Zhang/Siguard"&lt;&gt;""), HYPERLINK("https://github.com/Jiashuo-Zhang/Siguard", "Link"),"-")</f>
        <v>Link</v>
      </c>
      <c r="G92" s="54">
        <v>2023</v>
      </c>
      <c r="H92" s="53" t="s">
        <v>109</v>
      </c>
      <c r="J92" t="s">
        <v>51</v>
      </c>
      <c r="K92" t="s">
        <v>49</v>
      </c>
      <c r="M92" t="s">
        <v>49</v>
      </c>
      <c r="O92" t="str">
        <f>IF(NOT(ISERROR( SEARCH(A92,#REF!))), "✓", "")</f>
        <v/>
      </c>
      <c r="T92" t="s">
        <v>49</v>
      </c>
      <c r="V92" t="s">
        <v>49</v>
      </c>
      <c r="AC92" t="s">
        <v>49</v>
      </c>
      <c r="AN92" s="56" t="s">
        <v>49</v>
      </c>
    </row>
    <row r="93" spans="1:40" ht="48" x14ac:dyDescent="0.2">
      <c r="A93" s="57" t="s">
        <v>353</v>
      </c>
      <c r="B93" s="51" t="s">
        <v>354</v>
      </c>
      <c r="C93" t="s">
        <v>355</v>
      </c>
      <c r="E93" t="s">
        <v>49</v>
      </c>
      <c r="F93" s="53" t="str">
        <f>IF(AND(ISTEXT("https://github.com/InPlusLab/SmartState"),"https://github.com/InPlusLab/SmartState"&lt;&gt;""), HYPERLINK("https://github.com/InPlusLab/SmartState", "Link"),"-")</f>
        <v>Link</v>
      </c>
      <c r="G93" s="54">
        <v>2023</v>
      </c>
      <c r="H93" s="53" t="s">
        <v>336</v>
      </c>
      <c r="J93" t="s">
        <v>51</v>
      </c>
      <c r="K93" t="s">
        <v>49</v>
      </c>
      <c r="M93" t="s">
        <v>49</v>
      </c>
      <c r="O93" t="str">
        <f>IF(NOT(ISERROR( SEARCH(A93,#REF!))), "✓", "")</f>
        <v/>
      </c>
      <c r="T93" t="s">
        <v>49</v>
      </c>
      <c r="W93" t="s">
        <v>49</v>
      </c>
      <c r="AN93" s="56" t="s">
        <v>49</v>
      </c>
    </row>
    <row r="94" spans="1:40" ht="48" x14ac:dyDescent="0.2">
      <c r="A94" s="57" t="s">
        <v>356</v>
      </c>
      <c r="B94" s="51" t="s">
        <v>357</v>
      </c>
      <c r="C94" t="s">
        <v>356</v>
      </c>
      <c r="E94" t="s">
        <v>49</v>
      </c>
      <c r="F94" s="53" t="str">
        <f>IF(AND(ISTEXT("https://github.com/Messi-Q/Cross-Modality-Bug-Detection"),"https://github.com/Messi-Q/Cross-Modality-Bug-Detection"&lt;&gt;""), HYPERLINK("https://github.com/Messi-Q/Cross-Modality-Bug-Detection", "Link"),"-")</f>
        <v>Link</v>
      </c>
      <c r="G94" s="54">
        <v>2023</v>
      </c>
      <c r="H94" s="53" t="s">
        <v>358</v>
      </c>
      <c r="J94" t="s">
        <v>51</v>
      </c>
      <c r="K94" t="s">
        <v>49</v>
      </c>
      <c r="M94" t="s">
        <v>49</v>
      </c>
      <c r="O94" t="str">
        <f>IF(NOT(ISERROR( SEARCH(A94,#REF!))), "✓", "")</f>
        <v/>
      </c>
      <c r="T94" t="s">
        <v>49</v>
      </c>
      <c r="V94" t="s">
        <v>49</v>
      </c>
      <c r="AC94" t="s">
        <v>49</v>
      </c>
      <c r="AM94" t="s">
        <v>49</v>
      </c>
      <c r="AN94" s="56"/>
    </row>
    <row r="95" spans="1:40" ht="32" x14ac:dyDescent="0.2">
      <c r="A95" s="57" t="s">
        <v>359</v>
      </c>
      <c r="B95" s="51" t="s">
        <v>360</v>
      </c>
      <c r="C95" t="s">
        <v>361</v>
      </c>
      <c r="E95" t="s">
        <v>49</v>
      </c>
      <c r="F95" s="53" t="str">
        <f>IF(AND(ISTEXT("https://github.com/syntest-framework/syntest-solidity"),"https://github.com/syntest-framework/syntest-solidity"&lt;&gt;""), HYPERLINK("https://github.com/syntest-framework/syntest-solidity", "Link"),"-")</f>
        <v>Link</v>
      </c>
      <c r="G95" s="54">
        <v>2022</v>
      </c>
      <c r="H95" s="53" t="s">
        <v>340</v>
      </c>
      <c r="I95" t="s">
        <v>210</v>
      </c>
      <c r="J95" t="s">
        <v>362</v>
      </c>
      <c r="L95" t="s">
        <v>49</v>
      </c>
      <c r="M95" t="s">
        <v>49</v>
      </c>
      <c r="N95" t="s">
        <v>49</v>
      </c>
      <c r="O95" t="str">
        <f>IF(NOT(ISERROR( SEARCH(A95,#REF!))), "✓", "")</f>
        <v/>
      </c>
      <c r="U95" t="s">
        <v>49</v>
      </c>
      <c r="V95" t="s">
        <v>49</v>
      </c>
      <c r="AG95" t="s">
        <v>49</v>
      </c>
      <c r="AJ95" t="s">
        <v>49</v>
      </c>
      <c r="AN95" s="56"/>
    </row>
    <row r="96" spans="1:40" ht="80" x14ac:dyDescent="0.2">
      <c r="A96" s="57" t="s">
        <v>363</v>
      </c>
      <c r="B96" s="51" t="s">
        <v>364</v>
      </c>
      <c r="C96" t="s">
        <v>365</v>
      </c>
      <c r="E96" t="s">
        <v>49</v>
      </c>
      <c r="F96" s="53" t="str">
        <f>IF(AND(ISTEXT("https://github.com/christoftorres/Elysium"),"https://github.com/christoftorres/Elysium"&lt;&gt;""), HYPERLINK("https://github.com/christoftorres/Elysium", "Link"),"-")</f>
        <v>Link</v>
      </c>
      <c r="G96" s="54">
        <v>2022</v>
      </c>
      <c r="H96" s="53" t="s">
        <v>206</v>
      </c>
      <c r="J96" t="s">
        <v>366</v>
      </c>
      <c r="K96" t="s">
        <v>49</v>
      </c>
      <c r="M96" t="s">
        <v>49</v>
      </c>
      <c r="N96" t="s">
        <v>49</v>
      </c>
      <c r="O96" t="str">
        <f>IF(NOT(ISERROR( SEARCH(A96,#REF!))), "✓", "")</f>
        <v/>
      </c>
      <c r="P96" t="s">
        <v>49</v>
      </c>
      <c r="R96" t="s">
        <v>49</v>
      </c>
      <c r="S96" t="s">
        <v>49</v>
      </c>
      <c r="T96" t="s">
        <v>49</v>
      </c>
      <c r="V96" t="s">
        <v>49</v>
      </c>
      <c r="AN96" s="56" t="s">
        <v>49</v>
      </c>
    </row>
    <row r="97" spans="1:42" s="70" customFormat="1" ht="96" x14ac:dyDescent="0.2">
      <c r="A97" s="67" t="s">
        <v>367</v>
      </c>
      <c r="B97" s="68" t="s">
        <v>368</v>
      </c>
      <c r="C97" t="s">
        <v>369</v>
      </c>
      <c r="D97" s="69"/>
      <c r="F97" s="53" t="str">
        <f>IF(AND(ISTEXT(""),""&lt;&gt;""), HYPERLINK("", "Link"),"-")</f>
        <v>-</v>
      </c>
      <c r="G97" s="71">
        <v>2023</v>
      </c>
      <c r="H97" s="72"/>
      <c r="L97" s="70" t="s">
        <v>49</v>
      </c>
      <c r="N97" s="70" t="s">
        <v>49</v>
      </c>
      <c r="O97" t="str">
        <f>IF(NOT(ISERROR( SEARCH(A97,#REF!))), "✓", "")</f>
        <v/>
      </c>
      <c r="T97" s="70" t="s">
        <v>49</v>
      </c>
      <c r="V97" s="70" t="s">
        <v>49</v>
      </c>
      <c r="AD97" s="70" t="s">
        <v>49</v>
      </c>
      <c r="AN97" s="73"/>
      <c r="AP97"/>
    </row>
    <row r="98" spans="1:42" ht="64" x14ac:dyDescent="0.2">
      <c r="A98" s="57" t="s">
        <v>370</v>
      </c>
      <c r="B98" s="51" t="s">
        <v>371</v>
      </c>
      <c r="C98" t="s">
        <v>372</v>
      </c>
      <c r="E98" s="64"/>
      <c r="F98" s="53" t="str">
        <f>IF(AND(ISTEXT(""),""&lt;&gt;""), HYPERLINK("", "Link"),"-")</f>
        <v>-</v>
      </c>
      <c r="G98" s="65">
        <v>2023</v>
      </c>
      <c r="L98" t="s">
        <v>49</v>
      </c>
      <c r="M98" t="s">
        <v>49</v>
      </c>
      <c r="N98" t="s">
        <v>49</v>
      </c>
      <c r="O98" t="str">
        <f>IF(NOT(ISERROR( SEARCH(A98,#REF!))), "✓", "")</f>
        <v/>
      </c>
      <c r="T98" t="s">
        <v>49</v>
      </c>
      <c r="U98" t="s">
        <v>49</v>
      </c>
      <c r="V98" t="s">
        <v>49</v>
      </c>
      <c r="X98" t="s">
        <v>49</v>
      </c>
      <c r="AD98" s="70" t="s">
        <v>49</v>
      </c>
      <c r="AG98" t="s">
        <v>49</v>
      </c>
      <c r="AN98" s="56"/>
    </row>
    <row r="99" spans="1:42" ht="64" x14ac:dyDescent="0.2">
      <c r="A99" s="57" t="s">
        <v>373</v>
      </c>
      <c r="B99" s="51" t="s">
        <v>374</v>
      </c>
      <c r="C99" s="66" t="s">
        <v>375</v>
      </c>
      <c r="E99" t="s">
        <v>49</v>
      </c>
      <c r="F99" s="53" t="str">
        <f>IF(AND(ISTEXT("https://github.com/SoftSec-KAIST/Smartian"),"https://github.com/SoftSec-KAIST/Smartian"&lt;&gt;""), HYPERLINK("https://github.com/SoftSec-KAIST/Smartian", "Link"),"-")</f>
        <v>Link</v>
      </c>
      <c r="G99" s="54">
        <v>2021</v>
      </c>
      <c r="H99" s="53" t="s">
        <v>376</v>
      </c>
      <c r="J99" t="s">
        <v>377</v>
      </c>
      <c r="K99" t="s">
        <v>49</v>
      </c>
      <c r="M99" t="s">
        <v>49</v>
      </c>
      <c r="N99" t="s">
        <v>49</v>
      </c>
      <c r="O99" t="str">
        <f>IF(NOT(ISERROR( SEARCH(A99,#REF!))), "✓", "")</f>
        <v/>
      </c>
      <c r="T99" t="s">
        <v>49</v>
      </c>
      <c r="U99" t="s">
        <v>49</v>
      </c>
      <c r="V99" t="s">
        <v>49</v>
      </c>
      <c r="AG99" t="s">
        <v>49</v>
      </c>
      <c r="AJ99" t="s">
        <v>49</v>
      </c>
      <c r="AN99" s="56" t="s">
        <v>49</v>
      </c>
    </row>
    <row r="100" spans="1:42" ht="48" x14ac:dyDescent="0.2">
      <c r="A100" s="57" t="s">
        <v>378</v>
      </c>
      <c r="B100" s="51" t="s">
        <v>379</v>
      </c>
      <c r="C100" t="s">
        <v>380</v>
      </c>
      <c r="F100" s="53" t="str">
        <f t="shared" ref="F100:F106" si="9">IF(AND(ISTEXT(""),""&lt;&gt;""), HYPERLINK("", "Link"),"-")</f>
        <v>-</v>
      </c>
      <c r="G100" s="65">
        <v>2024</v>
      </c>
      <c r="L100" t="s">
        <v>49</v>
      </c>
      <c r="M100" t="s">
        <v>49</v>
      </c>
      <c r="N100" t="s">
        <v>49</v>
      </c>
      <c r="O100" t="str">
        <f>IF(NOT(ISERROR( SEARCH(A100,#REF!))), "✓", "")</f>
        <v/>
      </c>
      <c r="T100" t="s">
        <v>49</v>
      </c>
      <c r="U100" t="s">
        <v>49</v>
      </c>
      <c r="V100" t="s">
        <v>49</v>
      </c>
      <c r="AC100" t="s">
        <v>49</v>
      </c>
      <c r="AG100" t="s">
        <v>49</v>
      </c>
      <c r="AJ100" t="s">
        <v>49</v>
      </c>
      <c r="AN100" s="56"/>
    </row>
    <row r="101" spans="1:42" ht="48" x14ac:dyDescent="0.2">
      <c r="A101" s="57" t="s">
        <v>381</v>
      </c>
      <c r="B101" s="51" t="s">
        <v>382</v>
      </c>
      <c r="C101" t="s">
        <v>383</v>
      </c>
      <c r="F101" s="53" t="str">
        <f t="shared" si="9"/>
        <v>-</v>
      </c>
      <c r="G101" s="65">
        <v>2023</v>
      </c>
      <c r="K101" t="s">
        <v>49</v>
      </c>
      <c r="O101" t="str">
        <f>IF(NOT(ISERROR( SEARCH(A101,#REF!))), "✓", "")</f>
        <v/>
      </c>
      <c r="T101" t="s">
        <v>49</v>
      </c>
      <c r="AM101" t="s">
        <v>49</v>
      </c>
      <c r="AN101" s="56"/>
    </row>
    <row r="102" spans="1:42" ht="64" x14ac:dyDescent="0.2">
      <c r="A102" s="57" t="s">
        <v>384</v>
      </c>
      <c r="B102" s="51" t="s">
        <v>385</v>
      </c>
      <c r="C102" t="s">
        <v>386</v>
      </c>
      <c r="F102" s="53" t="str">
        <f t="shared" si="9"/>
        <v>-</v>
      </c>
      <c r="G102" s="65">
        <v>2022</v>
      </c>
      <c r="K102" t="s">
        <v>49</v>
      </c>
      <c r="M102" t="s">
        <v>49</v>
      </c>
      <c r="O102" t="str">
        <f>IF(NOT(ISERROR( SEARCH(A102,#REF!))), "✓", "")</f>
        <v/>
      </c>
      <c r="T102" t="s">
        <v>49</v>
      </c>
      <c r="V102" t="s">
        <v>49</v>
      </c>
      <c r="AM102" t="s">
        <v>49</v>
      </c>
      <c r="AN102" s="56"/>
    </row>
    <row r="103" spans="1:42" ht="80" x14ac:dyDescent="0.2">
      <c r="A103" s="57" t="s">
        <v>387</v>
      </c>
      <c r="B103" s="51" t="s">
        <v>388</v>
      </c>
      <c r="C103" t="s">
        <v>389</v>
      </c>
      <c r="F103" s="53" t="str">
        <f t="shared" si="9"/>
        <v>-</v>
      </c>
      <c r="G103" s="65">
        <v>2021</v>
      </c>
      <c r="K103" t="s">
        <v>49</v>
      </c>
      <c r="M103" t="s">
        <v>49</v>
      </c>
      <c r="O103" t="str">
        <f>IF(NOT(ISERROR( SEARCH(A103,#REF!))), "✓", "")</f>
        <v/>
      </c>
      <c r="T103" t="s">
        <v>49</v>
      </c>
      <c r="Z103" t="s">
        <v>49</v>
      </c>
      <c r="AM103" t="s">
        <v>49</v>
      </c>
      <c r="AN103" s="56"/>
    </row>
    <row r="104" spans="1:42" ht="48" x14ac:dyDescent="0.2">
      <c r="A104" s="57" t="s">
        <v>390</v>
      </c>
      <c r="B104" s="51" t="s">
        <v>391</v>
      </c>
      <c r="C104" t="s">
        <v>392</v>
      </c>
      <c r="F104" s="53" t="str">
        <f t="shared" si="9"/>
        <v>-</v>
      </c>
      <c r="G104" s="65">
        <v>2023</v>
      </c>
      <c r="L104" t="s">
        <v>49</v>
      </c>
      <c r="M104" t="s">
        <v>49</v>
      </c>
      <c r="O104" t="str">
        <f>IF(NOT(ISERROR( SEARCH(A104,#REF!))), "✓", "")</f>
        <v/>
      </c>
      <c r="T104" t="s">
        <v>49</v>
      </c>
      <c r="X104" t="s">
        <v>49</v>
      </c>
      <c r="AK104" t="s">
        <v>49</v>
      </c>
      <c r="AM104" t="s">
        <v>49</v>
      </c>
      <c r="AN104" s="56"/>
    </row>
    <row r="105" spans="1:42" ht="96" x14ac:dyDescent="0.2">
      <c r="A105" s="57" t="s">
        <v>393</v>
      </c>
      <c r="B105" s="51" t="s">
        <v>394</v>
      </c>
      <c r="C105" t="s">
        <v>395</v>
      </c>
      <c r="F105" s="53" t="str">
        <f t="shared" si="9"/>
        <v>-</v>
      </c>
      <c r="G105" s="65">
        <v>2024</v>
      </c>
      <c r="L105" t="s">
        <v>49</v>
      </c>
      <c r="M105" t="s">
        <v>49</v>
      </c>
      <c r="N105" t="s">
        <v>49</v>
      </c>
      <c r="O105" t="str">
        <f>IF(NOT(ISERROR( SEARCH(A105,#REF!))), "✓", "")</f>
        <v/>
      </c>
      <c r="U105" t="s">
        <v>49</v>
      </c>
      <c r="W105" t="s">
        <v>49</v>
      </c>
      <c r="AD105" t="s">
        <v>49</v>
      </c>
      <c r="AG105" t="s">
        <v>49</v>
      </c>
      <c r="AN105" s="56" t="s">
        <v>49</v>
      </c>
    </row>
    <row r="106" spans="1:42" ht="48" x14ac:dyDescent="0.2">
      <c r="A106" s="57" t="s">
        <v>396</v>
      </c>
      <c r="B106" s="51" t="s">
        <v>397</v>
      </c>
      <c r="C106" t="s">
        <v>398</v>
      </c>
      <c r="F106" s="53" t="str">
        <f t="shared" si="9"/>
        <v>-</v>
      </c>
      <c r="G106" s="65">
        <v>2022</v>
      </c>
      <c r="K106" t="s">
        <v>49</v>
      </c>
      <c r="M106" t="s">
        <v>49</v>
      </c>
      <c r="O106" t="str">
        <f>IF(NOT(ISERROR( SEARCH(A106,#REF!))), "✓", "")</f>
        <v/>
      </c>
      <c r="T106" t="s">
        <v>49</v>
      </c>
      <c r="V106" t="s">
        <v>49</v>
      </c>
      <c r="Y106" t="s">
        <v>49</v>
      </c>
      <c r="AM106" t="s">
        <v>49</v>
      </c>
      <c r="AN106" s="56" t="s">
        <v>49</v>
      </c>
    </row>
    <row r="107" spans="1:42" ht="32" x14ac:dyDescent="0.2">
      <c r="A107" s="50" t="s">
        <v>399</v>
      </c>
      <c r="B107" s="51" t="s">
        <v>400</v>
      </c>
      <c r="C107" t="s">
        <v>401</v>
      </c>
      <c r="E107" t="s">
        <v>49</v>
      </c>
      <c r="F107" s="53" t="str">
        <f>IF(AND(ISTEXT("https://github.com/toolstemp/Iacontract"),"https://github.com/toolstemp/Iacontract"&lt;&gt;""), HYPERLINK("https://github.com/toolstemp/Iacontract", "Link"),"-")</f>
        <v>Link</v>
      </c>
      <c r="G107" s="65">
        <v>2022</v>
      </c>
      <c r="J107" t="s">
        <v>51</v>
      </c>
      <c r="L107" t="s">
        <v>49</v>
      </c>
      <c r="M107" t="s">
        <v>49</v>
      </c>
      <c r="O107" t="str">
        <f>IF(NOT(ISERROR( SEARCH(A107,#REF!))), "✓", "")</f>
        <v/>
      </c>
      <c r="T107" t="s">
        <v>49</v>
      </c>
      <c r="X107" t="s">
        <v>49</v>
      </c>
      <c r="AK107" t="s">
        <v>49</v>
      </c>
      <c r="AM107" t="s">
        <v>49</v>
      </c>
      <c r="AN107" s="56"/>
    </row>
    <row r="108" spans="1:42" ht="48" x14ac:dyDescent="0.2">
      <c r="A108" s="57" t="s">
        <v>402</v>
      </c>
      <c r="B108" s="51" t="s">
        <v>403</v>
      </c>
      <c r="C108" t="s">
        <v>404</v>
      </c>
      <c r="F108" s="53" t="str">
        <f>IF(AND(ISTEXT(""),""&lt;&gt;""), HYPERLINK("", "Link"),"-")</f>
        <v>-</v>
      </c>
      <c r="G108" s="65">
        <v>2022</v>
      </c>
      <c r="L108" t="s">
        <v>49</v>
      </c>
      <c r="M108" t="s">
        <v>49</v>
      </c>
      <c r="O108" t="str">
        <f>IF(NOT(ISERROR( SEARCH(A108,#REF!))), "✓", "")</f>
        <v/>
      </c>
      <c r="T108" t="s">
        <v>49</v>
      </c>
      <c r="V108" t="s">
        <v>49</v>
      </c>
      <c r="X108" t="s">
        <v>49</v>
      </c>
      <c r="AM108" t="s">
        <v>49</v>
      </c>
      <c r="AN108" s="56"/>
    </row>
    <row r="109" spans="1:42" ht="48" x14ac:dyDescent="0.2">
      <c r="A109" s="57" t="s">
        <v>405</v>
      </c>
      <c r="B109" s="51" t="s">
        <v>406</v>
      </c>
      <c r="C109" t="s">
        <v>404</v>
      </c>
      <c r="F109" s="53" t="str">
        <f>IF(AND(ISTEXT(""),""&lt;&gt;""), HYPERLINK("", "Link"),"-")</f>
        <v>-</v>
      </c>
      <c r="G109" s="65">
        <v>2022</v>
      </c>
      <c r="K109" t="s">
        <v>49</v>
      </c>
      <c r="M109" t="s">
        <v>49</v>
      </c>
      <c r="O109" t="str">
        <f>IF(NOT(ISERROR( SEARCH(A109,#REF!))), "✓", "")</f>
        <v/>
      </c>
      <c r="T109" t="s">
        <v>49</v>
      </c>
      <c r="V109" t="s">
        <v>49</v>
      </c>
      <c r="X109" t="s">
        <v>49</v>
      </c>
      <c r="AM109" t="s">
        <v>49</v>
      </c>
      <c r="AN109" s="56"/>
    </row>
    <row r="110" spans="1:42" ht="48" x14ac:dyDescent="0.2">
      <c r="A110" s="57" t="s">
        <v>407</v>
      </c>
      <c r="B110" s="51" t="s">
        <v>408</v>
      </c>
      <c r="C110" t="s">
        <v>409</v>
      </c>
      <c r="F110" s="53" t="str">
        <f>IF(AND(ISTEXT(""),""&lt;&gt;""), HYPERLINK("", "Link"),"-")</f>
        <v>-</v>
      </c>
      <c r="G110" s="65">
        <v>2023</v>
      </c>
      <c r="K110" t="s">
        <v>49</v>
      </c>
      <c r="M110" t="s">
        <v>49</v>
      </c>
      <c r="O110" t="str">
        <f>IF(NOT(ISERROR( SEARCH(A110,#REF!))), "✓", "")</f>
        <v/>
      </c>
      <c r="U110" t="s">
        <v>49</v>
      </c>
      <c r="W110" t="s">
        <v>49</v>
      </c>
      <c r="AL110" t="s">
        <v>49</v>
      </c>
      <c r="AN110" s="56"/>
    </row>
    <row r="111" spans="1:42" ht="48" x14ac:dyDescent="0.2">
      <c r="A111" s="57" t="s">
        <v>410</v>
      </c>
      <c r="B111" s="51" t="s">
        <v>411</v>
      </c>
      <c r="C111" t="s">
        <v>412</v>
      </c>
      <c r="E111" t="s">
        <v>49</v>
      </c>
      <c r="F111" s="53" t="str">
        <f>IF(AND(ISTEXT("https://github.com/OSUSecLab/TxSpector"),"https://github.com/OSUSecLab/TxSpector"&lt;&gt;""), HYPERLINK("https://github.com/OSUSecLab/TxSpector", "Link"),"-")</f>
        <v>Link</v>
      </c>
      <c r="G111" s="54">
        <v>2020</v>
      </c>
      <c r="H111" s="53" t="s">
        <v>64</v>
      </c>
      <c r="I111" s="64"/>
      <c r="J111" t="s">
        <v>413</v>
      </c>
      <c r="K111" t="s">
        <v>49</v>
      </c>
      <c r="M111" t="s">
        <v>49</v>
      </c>
      <c r="O111" t="str">
        <f>IF(NOT(ISERROR( SEARCH(A111,#REF!))), "✓", "")</f>
        <v/>
      </c>
      <c r="U111" t="s">
        <v>49</v>
      </c>
      <c r="W111" t="s">
        <v>49</v>
      </c>
      <c r="AL111" t="s">
        <v>49</v>
      </c>
      <c r="AN111" s="56"/>
    </row>
    <row r="112" spans="1:42" ht="64" x14ac:dyDescent="0.2">
      <c r="A112" s="57" t="s">
        <v>414</v>
      </c>
      <c r="B112" s="51" t="s">
        <v>415</v>
      </c>
      <c r="C112" t="s">
        <v>416</v>
      </c>
      <c r="E112" t="s">
        <v>49</v>
      </c>
      <c r="F112" s="53" t="str">
        <f>IF(AND(ISTEXT("https://github.com/wobulijie10086/SPCBIG-EC/tree/master/SPCBIG-EC"),"https://github.com/wobulijie10086/SPCBIG-EC/tree/master/SPCBIG-EC"&lt;&gt;""), HYPERLINK("https://github.com/wobulijie10086/SPCBIG-EC/tree/master/SPCBIG-EC", "Link"),"-")</f>
        <v>Link</v>
      </c>
      <c r="G112" s="54">
        <v>2022</v>
      </c>
      <c r="H112" s="53" t="s">
        <v>202</v>
      </c>
      <c r="I112" s="64"/>
      <c r="J112" t="s">
        <v>51</v>
      </c>
      <c r="L112" t="s">
        <v>49</v>
      </c>
      <c r="M112" t="s">
        <v>49</v>
      </c>
      <c r="O112" t="str">
        <f>IF(NOT(ISERROR( SEARCH(A112,#REF!))), "✓", "")</f>
        <v/>
      </c>
      <c r="T112" t="s">
        <v>49</v>
      </c>
      <c r="Z112" t="s">
        <v>49</v>
      </c>
      <c r="AM112" t="s">
        <v>49</v>
      </c>
      <c r="AN112" s="56"/>
    </row>
    <row r="113" spans="1:40" ht="80" x14ac:dyDescent="0.2">
      <c r="A113" s="57" t="s">
        <v>417</v>
      </c>
      <c r="B113" s="51" t="s">
        <v>418</v>
      </c>
      <c r="C113" t="s">
        <v>419</v>
      </c>
      <c r="E113" t="s">
        <v>49</v>
      </c>
      <c r="F113" s="53" t="str">
        <f>IF(AND(ISTEXT("https://github.com/xiaoaochen/CBGRU"),"https://github.com/xiaoaochen/CBGRU"&lt;&gt;""), HYPERLINK("https://github.com/xiaoaochen/CBGRU", "Link"),"-")</f>
        <v>Link</v>
      </c>
      <c r="G113" s="54">
        <v>2022</v>
      </c>
      <c r="H113" s="53" t="s">
        <v>340</v>
      </c>
      <c r="L113" t="s">
        <v>49</v>
      </c>
      <c r="M113" t="s">
        <v>49</v>
      </c>
      <c r="N113" t="s">
        <v>49</v>
      </c>
      <c r="O113" t="str">
        <f>IF(NOT(ISERROR( SEARCH(A113,#REF!))), "✓", "")</f>
        <v/>
      </c>
      <c r="T113" t="s">
        <v>49</v>
      </c>
      <c r="U113" t="s">
        <v>49</v>
      </c>
      <c r="Z113" t="s">
        <v>49</v>
      </c>
      <c r="AD113" t="s">
        <v>49</v>
      </c>
      <c r="AM113" t="s">
        <v>49</v>
      </c>
      <c r="AN113" s="56"/>
    </row>
    <row r="114" spans="1:40" ht="64" x14ac:dyDescent="0.2">
      <c r="A114" s="57" t="s">
        <v>420</v>
      </c>
      <c r="B114" s="51" t="s">
        <v>421</v>
      </c>
      <c r="C114" t="s">
        <v>422</v>
      </c>
      <c r="E114" t="s">
        <v>49</v>
      </c>
      <c r="F114" s="53" t="str">
        <f>IF(AND(ISTEXT("https://github.com/smartbugs/smartbugs"),"https://github.com/smartbugs/smartbugs"&lt;&gt;""), HYPERLINK("https://github.com/smartbugs/smartbugs", "Link"),"-")</f>
        <v>Link</v>
      </c>
      <c r="G114" s="54">
        <v>2021</v>
      </c>
      <c r="H114" s="53" t="s">
        <v>376</v>
      </c>
      <c r="J114" t="s">
        <v>51</v>
      </c>
      <c r="K114" t="s">
        <v>49</v>
      </c>
      <c r="L114" t="s">
        <v>49</v>
      </c>
      <c r="M114" t="s">
        <v>49</v>
      </c>
      <c r="O114" t="str">
        <f>IF(NOT(ISERROR( SEARCH(A114,#REF!))), "✓", "")</f>
        <v/>
      </c>
      <c r="T114" t="s">
        <v>49</v>
      </c>
      <c r="AN114" s="56"/>
    </row>
    <row r="115" spans="1:40" ht="48" x14ac:dyDescent="0.2">
      <c r="A115" s="57" t="s">
        <v>423</v>
      </c>
      <c r="B115" s="51" t="s">
        <v>424</v>
      </c>
      <c r="C115" t="s">
        <v>425</v>
      </c>
      <c r="F115" s="53" t="str">
        <f>IF(AND(ISTEXT(""),""&lt;&gt;""), HYPERLINK("", "Link"),"-")</f>
        <v>-</v>
      </c>
      <c r="G115" s="65">
        <v>2023</v>
      </c>
      <c r="L115" t="s">
        <v>49</v>
      </c>
      <c r="M115" t="s">
        <v>49</v>
      </c>
      <c r="O115" t="str">
        <f>IF(NOT(ISERROR( SEARCH(A115,#REF!))), "✓", "")</f>
        <v/>
      </c>
      <c r="T115" t="s">
        <v>49</v>
      </c>
      <c r="X115" t="s">
        <v>49</v>
      </c>
      <c r="AM115" t="s">
        <v>49</v>
      </c>
      <c r="AN115" s="56"/>
    </row>
    <row r="116" spans="1:40" ht="48" x14ac:dyDescent="0.2">
      <c r="A116" s="57" t="s">
        <v>426</v>
      </c>
      <c r="B116" s="51" t="s">
        <v>427</v>
      </c>
      <c r="C116" t="s">
        <v>428</v>
      </c>
      <c r="F116" s="53" t="str">
        <f>IF(AND(ISTEXT(""),""&lt;&gt;""), HYPERLINK("", "Link"),"-")</f>
        <v>-</v>
      </c>
      <c r="G116" s="65">
        <v>2023</v>
      </c>
      <c r="L116" t="s">
        <v>49</v>
      </c>
      <c r="M116" t="s">
        <v>49</v>
      </c>
      <c r="O116" t="str">
        <f>IF(NOT(ISERROR( SEARCH(A116,#REF!))), "✓", "")</f>
        <v/>
      </c>
      <c r="T116" t="s">
        <v>49</v>
      </c>
      <c r="Z116" t="s">
        <v>49</v>
      </c>
      <c r="AM116" t="s">
        <v>49</v>
      </c>
      <c r="AN116" s="56"/>
    </row>
    <row r="117" spans="1:40" ht="80" x14ac:dyDescent="0.2">
      <c r="A117" s="57" t="s">
        <v>429</v>
      </c>
      <c r="B117" s="51" t="s">
        <v>430</v>
      </c>
      <c r="C117" t="s">
        <v>431</v>
      </c>
      <c r="F117" s="53" t="str">
        <f>IF(AND(ISTEXT(""),""&lt;&gt;""), HYPERLINK("", "Link"),"-")</f>
        <v>-</v>
      </c>
      <c r="G117" s="65">
        <v>2023</v>
      </c>
      <c r="L117" t="s">
        <v>49</v>
      </c>
      <c r="M117" t="s">
        <v>49</v>
      </c>
      <c r="O117" t="str">
        <f>IF(NOT(ISERROR( SEARCH(A117,#REF!))), "✓", "")</f>
        <v/>
      </c>
      <c r="T117" t="s">
        <v>49</v>
      </c>
      <c r="V117" t="s">
        <v>49</v>
      </c>
      <c r="X117" t="s">
        <v>49</v>
      </c>
      <c r="AM117" t="s">
        <v>49</v>
      </c>
      <c r="AN117" s="56"/>
    </row>
    <row r="118" spans="1:40" ht="48" x14ac:dyDescent="0.2">
      <c r="A118" s="57" t="s">
        <v>432</v>
      </c>
      <c r="B118" s="51" t="s">
        <v>433</v>
      </c>
      <c r="C118" t="s">
        <v>434</v>
      </c>
      <c r="F118" s="53" t="str">
        <f>IF(AND(ISTEXT(""),""&lt;&gt;""), HYPERLINK("", "Link"),"-")</f>
        <v>-</v>
      </c>
      <c r="G118" s="65">
        <v>2022</v>
      </c>
      <c r="L118" t="s">
        <v>49</v>
      </c>
      <c r="M118" t="s">
        <v>49</v>
      </c>
      <c r="O118" t="str">
        <f>IF(NOT(ISERROR( SEARCH(A118,#REF!))), "✓", "")</f>
        <v/>
      </c>
      <c r="U118" t="s">
        <v>49</v>
      </c>
      <c r="Z118" t="s">
        <v>49</v>
      </c>
      <c r="AG118" t="s">
        <v>49</v>
      </c>
      <c r="AJ118" t="s">
        <v>49</v>
      </c>
      <c r="AL118" s="59"/>
      <c r="AN118" s="56"/>
    </row>
    <row r="119" spans="1:40" ht="80" x14ac:dyDescent="0.2">
      <c r="A119" s="57" t="s">
        <v>435</v>
      </c>
      <c r="B119" s="51" t="s">
        <v>436</v>
      </c>
      <c r="C119" t="s">
        <v>437</v>
      </c>
      <c r="F119" s="53" t="str">
        <f>IF(AND(ISTEXT(""),""&lt;&gt;""), HYPERLINK("", "Link"),"-")</f>
        <v>-</v>
      </c>
      <c r="G119" s="65">
        <v>2023</v>
      </c>
      <c r="L119" t="s">
        <v>49</v>
      </c>
      <c r="M119" t="s">
        <v>49</v>
      </c>
      <c r="O119" t="str">
        <f>IF(NOT(ISERROR( SEARCH(A119,#REF!))), "✓", "")</f>
        <v/>
      </c>
      <c r="U119" t="s">
        <v>49</v>
      </c>
      <c r="Z119" t="s">
        <v>49</v>
      </c>
      <c r="AL119" t="s">
        <v>49</v>
      </c>
      <c r="AN119" s="56"/>
    </row>
    <row r="120" spans="1:40" ht="32" x14ac:dyDescent="0.2">
      <c r="A120" s="57" t="s">
        <v>438</v>
      </c>
      <c r="B120" s="51" t="s">
        <v>439</v>
      </c>
      <c r="C120" t="s">
        <v>440</v>
      </c>
      <c r="E120" t="s">
        <v>49</v>
      </c>
      <c r="F120" s="53" t="str">
        <f>IF(AND(ISTEXT("https://github.com/duytai/sFuzz/tree/v2.0"),"https://github.com/duytai/sFuzz/tree/v2.0"&lt;&gt;""), HYPERLINK("https://github.com/duytai/sFuzz/tree/v2.0", "Link"),"-")</f>
        <v>Link</v>
      </c>
      <c r="G120" s="54">
        <v>2023</v>
      </c>
      <c r="H120" s="53" t="s">
        <v>441</v>
      </c>
      <c r="J120" t="s">
        <v>116</v>
      </c>
      <c r="L120" t="s">
        <v>49</v>
      </c>
      <c r="M120" t="s">
        <v>49</v>
      </c>
      <c r="O120" t="str">
        <f>IF(NOT(ISERROR( SEARCH(A120,#REF!))), "✓", "")</f>
        <v/>
      </c>
      <c r="U120" t="s">
        <v>49</v>
      </c>
      <c r="AG120" t="s">
        <v>49</v>
      </c>
      <c r="AJ120" t="s">
        <v>49</v>
      </c>
      <c r="AK120" t="s">
        <v>49</v>
      </c>
      <c r="AL120" s="59"/>
      <c r="AN120" s="56"/>
    </row>
    <row r="121" spans="1:40" ht="32" x14ac:dyDescent="0.2">
      <c r="A121" s="57" t="s">
        <v>255</v>
      </c>
      <c r="B121" s="51" t="s">
        <v>442</v>
      </c>
      <c r="C121" t="s">
        <v>255</v>
      </c>
      <c r="F121" s="53" t="str">
        <f>IF(AND(ISTEXT(""),""&lt;&gt;""), HYPERLINK("", "Link"),"-")</f>
        <v>-</v>
      </c>
      <c r="G121" s="65">
        <v>2021</v>
      </c>
      <c r="K121" t="s">
        <v>49</v>
      </c>
      <c r="M121" t="s">
        <v>49</v>
      </c>
      <c r="O121" t="str">
        <f>IF(NOT(ISERROR( SEARCH(A121,#REF!))), "✓", "")</f>
        <v/>
      </c>
      <c r="T121" t="s">
        <v>49</v>
      </c>
      <c r="V121" t="s">
        <v>49</v>
      </c>
      <c r="AK121" t="s">
        <v>49</v>
      </c>
      <c r="AN121" s="56"/>
    </row>
    <row r="122" spans="1:40" ht="80" x14ac:dyDescent="0.2">
      <c r="A122" s="57" t="s">
        <v>443</v>
      </c>
      <c r="B122" s="51" t="s">
        <v>444</v>
      </c>
      <c r="C122" t="s">
        <v>445</v>
      </c>
      <c r="E122" t="s">
        <v>49</v>
      </c>
      <c r="F122" s="53" t="str">
        <f>IF(AND(ISTEXT("https://github.com/CVbluecat/TIPS"),"https://github.com/CVbluecat/TIPS"&lt;&gt;""), HYPERLINK("https://github.com/CVbluecat/TIPS", "Link"),"-")</f>
        <v>Link</v>
      </c>
      <c r="G122" s="54">
        <v>2023</v>
      </c>
      <c r="H122" s="53" t="s">
        <v>197</v>
      </c>
      <c r="J122" t="s">
        <v>51</v>
      </c>
      <c r="L122" t="s">
        <v>49</v>
      </c>
      <c r="M122" t="s">
        <v>49</v>
      </c>
      <c r="N122" t="s">
        <v>49</v>
      </c>
      <c r="O122" t="str">
        <f>IF(NOT(ISERROR( SEARCH(A122,#REF!))), "✓", "")</f>
        <v/>
      </c>
      <c r="P122" t="s">
        <v>49</v>
      </c>
      <c r="R122" t="s">
        <v>49</v>
      </c>
      <c r="S122" t="s">
        <v>49</v>
      </c>
      <c r="T122" t="s">
        <v>49</v>
      </c>
      <c r="X122" t="s">
        <v>49</v>
      </c>
      <c r="AN122" s="56"/>
    </row>
    <row r="123" spans="1:40" ht="32" x14ac:dyDescent="0.2">
      <c r="A123" s="50" t="s">
        <v>446</v>
      </c>
      <c r="B123" s="51" t="s">
        <v>447</v>
      </c>
      <c r="C123" t="s">
        <v>448</v>
      </c>
      <c r="D123" s="74"/>
      <c r="E123" t="s">
        <v>49</v>
      </c>
      <c r="F123" s="53" t="str">
        <f>IF(AND(ISTEXT("https://github.com/ahlashkari/SCsVulLyzer"),"https://github.com/ahlashkari/SCsVulLyzer"&lt;&gt;""), HYPERLINK("https://github.com/ahlashkari/SCsVulLyzer", "Link"),"-")</f>
        <v>Link</v>
      </c>
      <c r="G123" s="54">
        <v>2024</v>
      </c>
      <c r="H123" s="53" t="s">
        <v>115</v>
      </c>
      <c r="J123" t="s">
        <v>51</v>
      </c>
      <c r="L123" t="s">
        <v>49</v>
      </c>
      <c r="M123" t="s">
        <v>49</v>
      </c>
      <c r="O123" t="str">
        <f>IF(NOT(ISERROR( SEARCH(A123,#REF!))), "✓", "")</f>
        <v/>
      </c>
      <c r="T123" t="s">
        <v>49</v>
      </c>
      <c r="X123" t="s">
        <v>49</v>
      </c>
      <c r="Z123" t="s">
        <v>49</v>
      </c>
      <c r="AB123" t="s">
        <v>49</v>
      </c>
      <c r="AL123" t="s">
        <v>49</v>
      </c>
      <c r="AN123" s="56"/>
    </row>
    <row r="124" spans="1:40" ht="80" x14ac:dyDescent="0.2">
      <c r="A124" s="57" t="s">
        <v>449</v>
      </c>
      <c r="B124" s="51" t="s">
        <v>450</v>
      </c>
      <c r="C124" t="s">
        <v>451</v>
      </c>
      <c r="E124" t="s">
        <v>49</v>
      </c>
      <c r="F124" s="53" t="str">
        <f>IF(AND(ISTEXT("https://github.com/SeUniVr/EtherSolve"),"https://github.com/SeUniVr/EtherSolve"&lt;&gt;""), HYPERLINK("https://github.com/SeUniVr/EtherSolve", "Link"),"-")</f>
        <v>Link</v>
      </c>
      <c r="G124" s="62">
        <v>2023</v>
      </c>
      <c r="H124" s="53" t="s">
        <v>452</v>
      </c>
      <c r="J124" t="s">
        <v>102</v>
      </c>
      <c r="K124" t="s">
        <v>49</v>
      </c>
      <c r="M124" t="s">
        <v>49</v>
      </c>
      <c r="O124" t="str">
        <f>IF(NOT(ISERROR( SEARCH(A124,#REF!))), "✓", "")</f>
        <v/>
      </c>
      <c r="T124" t="s">
        <v>49</v>
      </c>
      <c r="V124" t="s">
        <v>49</v>
      </c>
      <c r="AC124" t="s">
        <v>49</v>
      </c>
      <c r="AN124" s="56"/>
    </row>
    <row r="125" spans="1:40" ht="112" x14ac:dyDescent="0.2">
      <c r="A125" s="57" t="s">
        <v>453</v>
      </c>
      <c r="B125" s="51" t="s">
        <v>454</v>
      </c>
      <c r="C125" t="s">
        <v>455</v>
      </c>
      <c r="F125" s="53" t="str">
        <f t="shared" ref="F125:F130" si="10">IF(AND(ISTEXT(""),""&lt;&gt;""), HYPERLINK("", "Link"),"-")</f>
        <v>-</v>
      </c>
      <c r="G125" s="65">
        <v>2022</v>
      </c>
      <c r="K125" t="s">
        <v>49</v>
      </c>
      <c r="L125" t="s">
        <v>49</v>
      </c>
      <c r="M125" t="s">
        <v>49</v>
      </c>
      <c r="N125" t="s">
        <v>49</v>
      </c>
      <c r="O125" t="str">
        <f>IF(NOT(ISERROR( SEARCH(A125,#REF!))), "✓", "")</f>
        <v/>
      </c>
      <c r="R125" t="s">
        <v>49</v>
      </c>
      <c r="S125" t="s">
        <v>49</v>
      </c>
      <c r="T125" t="s">
        <v>49</v>
      </c>
      <c r="Z125" t="s">
        <v>49</v>
      </c>
      <c r="AM125" t="s">
        <v>49</v>
      </c>
      <c r="AN125" s="56"/>
    </row>
    <row r="126" spans="1:40" ht="48" x14ac:dyDescent="0.2">
      <c r="A126" s="50" t="s">
        <v>456</v>
      </c>
      <c r="B126" s="51" t="s">
        <v>457</v>
      </c>
      <c r="C126" t="s">
        <v>458</v>
      </c>
      <c r="F126" s="53" t="str">
        <f t="shared" si="10"/>
        <v>-</v>
      </c>
      <c r="G126" s="65">
        <v>2022</v>
      </c>
      <c r="L126" t="s">
        <v>49</v>
      </c>
      <c r="M126" t="s">
        <v>49</v>
      </c>
      <c r="O126" t="str">
        <f>IF(NOT(ISERROR( SEARCH(A126,#REF!))), "✓", "")</f>
        <v/>
      </c>
      <c r="T126" t="s">
        <v>49</v>
      </c>
      <c r="AN126" s="56"/>
    </row>
    <row r="127" spans="1:40" ht="80" x14ac:dyDescent="0.2">
      <c r="A127" s="57" t="s">
        <v>459</v>
      </c>
      <c r="B127" s="51" t="s">
        <v>460</v>
      </c>
      <c r="C127" t="s">
        <v>461</v>
      </c>
      <c r="F127" s="53" t="str">
        <f t="shared" si="10"/>
        <v>-</v>
      </c>
      <c r="G127" s="65">
        <v>2023</v>
      </c>
      <c r="L127" t="s">
        <v>49</v>
      </c>
      <c r="M127" t="s">
        <v>49</v>
      </c>
      <c r="O127" t="str">
        <f>IF(NOT(ISERROR( SEARCH(A127,#REF!))), "✓", "")</f>
        <v/>
      </c>
      <c r="T127" t="s">
        <v>49</v>
      </c>
      <c r="X127" t="s">
        <v>49</v>
      </c>
      <c r="AK127" t="s">
        <v>49</v>
      </c>
      <c r="AN127" s="56"/>
    </row>
    <row r="128" spans="1:40" ht="112" x14ac:dyDescent="0.2">
      <c r="A128" s="50" t="s">
        <v>462</v>
      </c>
      <c r="B128" s="51" t="s">
        <v>463</v>
      </c>
      <c r="C128" t="s">
        <v>464</v>
      </c>
      <c r="F128" s="53" t="str">
        <f t="shared" si="10"/>
        <v>-</v>
      </c>
      <c r="G128" s="65">
        <v>2023</v>
      </c>
      <c r="L128" t="s">
        <v>49</v>
      </c>
      <c r="M128" t="s">
        <v>49</v>
      </c>
      <c r="O128" t="str">
        <f>IF(NOT(ISERROR( SEARCH(A128,#REF!))), "✓", "")</f>
        <v/>
      </c>
      <c r="T128" t="s">
        <v>49</v>
      </c>
      <c r="V128" t="s">
        <v>49</v>
      </c>
      <c r="X128" t="s">
        <v>49</v>
      </c>
      <c r="AM128" t="s">
        <v>49</v>
      </c>
      <c r="AN128" s="56"/>
    </row>
    <row r="129" spans="1:40" ht="48" x14ac:dyDescent="0.2">
      <c r="A129" s="50" t="s">
        <v>465</v>
      </c>
      <c r="B129" s="51" t="s">
        <v>466</v>
      </c>
      <c r="C129" t="s">
        <v>467</v>
      </c>
      <c r="F129" s="53" t="str">
        <f t="shared" si="10"/>
        <v>-</v>
      </c>
      <c r="G129" s="65">
        <v>2021</v>
      </c>
      <c r="L129" t="s">
        <v>49</v>
      </c>
      <c r="M129" t="s">
        <v>49</v>
      </c>
      <c r="O129" t="str">
        <f>IF(NOT(ISERROR( SEARCH(A129,#REF!))), "✓", "")</f>
        <v/>
      </c>
      <c r="T129" t="s">
        <v>49</v>
      </c>
      <c r="V129" t="s">
        <v>49</v>
      </c>
      <c r="W129" t="s">
        <v>49</v>
      </c>
      <c r="X129" t="s">
        <v>49</v>
      </c>
      <c r="Z129" t="s">
        <v>49</v>
      </c>
      <c r="AK129" t="s">
        <v>49</v>
      </c>
      <c r="AN129" s="56" t="s">
        <v>49</v>
      </c>
    </row>
    <row r="130" spans="1:40" ht="32" x14ac:dyDescent="0.2">
      <c r="A130" s="57" t="s">
        <v>468</v>
      </c>
      <c r="B130" s="51" t="s">
        <v>469</v>
      </c>
      <c r="C130" t="s">
        <v>470</v>
      </c>
      <c r="F130" s="53" t="str">
        <f t="shared" si="10"/>
        <v>-</v>
      </c>
      <c r="G130" s="65">
        <v>2022</v>
      </c>
      <c r="L130" t="s">
        <v>49</v>
      </c>
      <c r="M130" t="s">
        <v>49</v>
      </c>
      <c r="O130" t="str">
        <f>IF(NOT(ISERROR( SEARCH(A130,#REF!))), "✓", "")</f>
        <v/>
      </c>
      <c r="T130" t="s">
        <v>49</v>
      </c>
      <c r="W130" t="s">
        <v>49</v>
      </c>
      <c r="Z130" t="s">
        <v>49</v>
      </c>
      <c r="AC130" t="s">
        <v>49</v>
      </c>
      <c r="AK130" t="s">
        <v>49</v>
      </c>
      <c r="AN130" s="56"/>
    </row>
    <row r="131" spans="1:40" ht="48" x14ac:dyDescent="0.2">
      <c r="A131" s="57" t="s">
        <v>471</v>
      </c>
      <c r="B131" s="51" t="s">
        <v>472</v>
      </c>
      <c r="C131" t="s">
        <v>473</v>
      </c>
      <c r="E131" t="s">
        <v>49</v>
      </c>
      <c r="F131" s="53" t="str">
        <f>IF(AND(ISTEXT("https://github.com/SmartcontractTest/MuIESC"),"https://github.com/SmartcontractTest/MuIESC"&lt;&gt;""), HYPERLINK("https://github.com/SmartcontractTest/MuIESC", "Link"),"-")</f>
        <v>Link</v>
      </c>
      <c r="G131" s="54">
        <v>2022</v>
      </c>
      <c r="H131" s="53" t="s">
        <v>474</v>
      </c>
      <c r="J131" t="s">
        <v>51</v>
      </c>
      <c r="L131" t="s">
        <v>49</v>
      </c>
      <c r="M131" t="s">
        <v>49</v>
      </c>
      <c r="N131" t="s">
        <v>49</v>
      </c>
      <c r="O131" t="str">
        <f>IF(NOT(ISERROR( SEARCH(A131,#REF!))), "✓", "")</f>
        <v/>
      </c>
      <c r="U131" t="s">
        <v>49</v>
      </c>
      <c r="AJ131" t="s">
        <v>49</v>
      </c>
      <c r="AN131" s="56"/>
    </row>
    <row r="132" spans="1:40" ht="48" x14ac:dyDescent="0.2">
      <c r="A132" s="57" t="s">
        <v>475</v>
      </c>
      <c r="B132" s="51" t="s">
        <v>476</v>
      </c>
      <c r="C132" t="s">
        <v>477</v>
      </c>
      <c r="F132" s="53" t="str">
        <f>IF(AND(ISTEXT(""),""&lt;&gt;""), HYPERLINK("", "Link"),"-")</f>
        <v>-</v>
      </c>
      <c r="G132" s="65">
        <v>2024</v>
      </c>
      <c r="K132" t="s">
        <v>49</v>
      </c>
      <c r="M132" t="s">
        <v>49</v>
      </c>
      <c r="N132" t="s">
        <v>49</v>
      </c>
      <c r="O132" t="str">
        <f>IF(NOT(ISERROR( SEARCH(A132,#REF!))), "✓", "")</f>
        <v/>
      </c>
      <c r="T132" t="s">
        <v>49</v>
      </c>
      <c r="V132" t="s">
        <v>49</v>
      </c>
      <c r="Z132" t="s">
        <v>49</v>
      </c>
      <c r="AM132" t="s">
        <v>49</v>
      </c>
      <c r="AN132" s="56"/>
    </row>
    <row r="133" spans="1:40" ht="96" x14ac:dyDescent="0.2">
      <c r="A133" s="57" t="s">
        <v>478</v>
      </c>
      <c r="B133" s="51" t="s">
        <v>479</v>
      </c>
      <c r="C133" t="s">
        <v>480</v>
      </c>
      <c r="D133" s="64" t="s">
        <v>419</v>
      </c>
      <c r="E133" t="s">
        <v>49</v>
      </c>
      <c r="F133" s="53" t="str">
        <f>IF(AND(ISTEXT("https://github.com/lukmaz/ethver"),"https://github.com/lukmaz/ethver"&lt;&gt;""), HYPERLINK("https://github.com/lukmaz/ethver", "Link"),"-")</f>
        <v>Link</v>
      </c>
      <c r="G133" s="54">
        <v>2021</v>
      </c>
      <c r="H133" s="53" t="s">
        <v>299</v>
      </c>
      <c r="J133" t="s">
        <v>481</v>
      </c>
      <c r="L133" t="s">
        <v>49</v>
      </c>
      <c r="N133" t="s">
        <v>49</v>
      </c>
      <c r="O133" t="str">
        <f>IF(NOT(ISERROR( SEARCH(A133,#REF!))), "✓", "")</f>
        <v/>
      </c>
      <c r="T133" t="s">
        <v>49</v>
      </c>
      <c r="Z133" t="s">
        <v>49</v>
      </c>
      <c r="AD133" t="s">
        <v>49</v>
      </c>
      <c r="AE133" t="s">
        <v>49</v>
      </c>
      <c r="AN133" s="56"/>
    </row>
    <row r="134" spans="1:40" ht="48" x14ac:dyDescent="0.2">
      <c r="A134" s="57" t="s">
        <v>482</v>
      </c>
      <c r="B134" s="51" t="s">
        <v>483</v>
      </c>
      <c r="C134" t="s">
        <v>484</v>
      </c>
      <c r="D134" s="64" t="s">
        <v>419</v>
      </c>
      <c r="E134" t="s">
        <v>49</v>
      </c>
      <c r="F134" s="53" t="str">
        <f>IF(AND(ISTEXT("https://github.com/gasgauge/gasgauge.github.io"),"https://github.com/gasgauge/gasgauge.github.io"&lt;&gt;""), HYPERLINK("https://github.com/gasgauge/gasgauge.github.io", "Link"),"-")</f>
        <v>Link</v>
      </c>
      <c r="G134" s="54">
        <v>2021</v>
      </c>
      <c r="H134" s="53" t="s">
        <v>149</v>
      </c>
      <c r="J134" t="s">
        <v>51</v>
      </c>
      <c r="L134" t="s">
        <v>49</v>
      </c>
      <c r="M134" t="s">
        <v>49</v>
      </c>
      <c r="O134" t="str">
        <f>IF(NOT(ISERROR( SEARCH(A134,#REF!))), "✓", "")</f>
        <v/>
      </c>
      <c r="T134" t="s">
        <v>49</v>
      </c>
      <c r="U134" t="s">
        <v>49</v>
      </c>
      <c r="V134" t="s">
        <v>49</v>
      </c>
      <c r="AG134" t="s">
        <v>49</v>
      </c>
      <c r="AN134" s="56"/>
    </row>
    <row r="135" spans="1:40" ht="32" x14ac:dyDescent="0.2">
      <c r="A135" s="57" t="s">
        <v>485</v>
      </c>
      <c r="B135" s="51" t="s">
        <v>486</v>
      </c>
      <c r="C135" s="64" t="s">
        <v>487</v>
      </c>
      <c r="D135" s="64" t="s">
        <v>488</v>
      </c>
      <c r="E135" t="s">
        <v>49</v>
      </c>
      <c r="F135" s="53" t="str">
        <f>IF(AND(ISTEXT("https://github.com/palkeo/pakala"),"https://github.com/palkeo/pakala"&lt;&gt;""), HYPERLINK("https://github.com/palkeo/pakala", "Link"),"-")</f>
        <v>Link</v>
      </c>
      <c r="G135" s="54">
        <v>2018</v>
      </c>
      <c r="H135" s="53" t="s">
        <v>489</v>
      </c>
      <c r="J135" t="s">
        <v>51</v>
      </c>
      <c r="K135" t="s">
        <v>49</v>
      </c>
      <c r="O135" t="str">
        <f>IF(NOT(ISERROR( SEARCH(A135,#REF!))), "✓", "")</f>
        <v/>
      </c>
      <c r="T135" t="s">
        <v>49</v>
      </c>
      <c r="AC135" t="s">
        <v>49</v>
      </c>
      <c r="AN135" s="56"/>
    </row>
    <row r="136" spans="1:40" ht="112" x14ac:dyDescent="0.2">
      <c r="A136" s="57" t="s">
        <v>490</v>
      </c>
      <c r="B136" s="51" t="s">
        <v>491</v>
      </c>
      <c r="C136" t="s">
        <v>492</v>
      </c>
      <c r="D136" s="64" t="s">
        <v>419</v>
      </c>
      <c r="F136" s="53" t="str">
        <f>IF(AND(ISTEXT(""),""&lt;&gt;""), HYPERLINK("", "Link"),"-")</f>
        <v>-</v>
      </c>
      <c r="G136" s="54">
        <v>2021</v>
      </c>
      <c r="H136" s="53" t="s">
        <v>193</v>
      </c>
      <c r="L136" t="s">
        <v>49</v>
      </c>
      <c r="M136" t="s">
        <v>49</v>
      </c>
      <c r="O136" t="str">
        <f>IF(NOT(ISERROR( SEARCH(A136,#REF!))), "✓", "")</f>
        <v/>
      </c>
      <c r="T136" t="s">
        <v>49</v>
      </c>
      <c r="X136" t="s">
        <v>49</v>
      </c>
      <c r="AL136" t="s">
        <v>49</v>
      </c>
      <c r="AN136" s="56"/>
    </row>
    <row r="137" spans="1:40" ht="80" x14ac:dyDescent="0.2">
      <c r="A137" s="57" t="s">
        <v>493</v>
      </c>
      <c r="B137" s="51" t="s">
        <v>494</v>
      </c>
      <c r="C137" s="64" t="s">
        <v>487</v>
      </c>
      <c r="D137" s="64" t="s">
        <v>419</v>
      </c>
      <c r="E137" t="s">
        <v>49</v>
      </c>
      <c r="F137" s="53" t="str">
        <f>IF(AND(ISTEXT("https://github.com/duaraghav8/Ethlint?tab=readme-ov-file"),"https://github.com/duaraghav8/Ethlint?tab=readme-ov-file"&lt;&gt;""), HYPERLINK("https://github.com/duaraghav8/Ethlint?tab=readme-ov-file", "Link"),"-")</f>
        <v>Link</v>
      </c>
      <c r="G137" s="54">
        <v>2018</v>
      </c>
      <c r="H137" s="53" t="s">
        <v>495</v>
      </c>
      <c r="I137" t="s">
        <v>496</v>
      </c>
      <c r="J137" t="s">
        <v>249</v>
      </c>
      <c r="L137" t="s">
        <v>49</v>
      </c>
      <c r="N137" t="s">
        <v>49</v>
      </c>
      <c r="O137" t="str">
        <f>IF(NOT(ISERROR( SEARCH(A137,#REF!))), "✓", "")</f>
        <v/>
      </c>
      <c r="P137" t="s">
        <v>49</v>
      </c>
      <c r="S137" t="s">
        <v>49</v>
      </c>
      <c r="T137" t="s">
        <v>49</v>
      </c>
      <c r="AN137" s="56"/>
    </row>
    <row r="138" spans="1:40" ht="144" x14ac:dyDescent="0.2">
      <c r="A138" s="57" t="s">
        <v>497</v>
      </c>
      <c r="B138" s="51" t="s">
        <v>498</v>
      </c>
      <c r="C138" t="s">
        <v>499</v>
      </c>
      <c r="D138" s="64" t="s">
        <v>419</v>
      </c>
      <c r="E138" t="s">
        <v>49</v>
      </c>
      <c r="F138" s="53" t="str">
        <f>IF(AND(ISTEXT("https://github.com/LarsStegeman/EthereumRuntimeMonitoring"),"https://github.com/LarsStegeman/EthereumRuntimeMonitoring"&lt;&gt;""), HYPERLINK("https://github.com/LarsStegeman/EthereumRuntimeMonitoring", "Link"),"-")</f>
        <v>Link</v>
      </c>
      <c r="G138" s="54">
        <v>2018</v>
      </c>
      <c r="H138" s="53" t="s">
        <v>500</v>
      </c>
      <c r="J138" t="s">
        <v>102</v>
      </c>
      <c r="L138" t="s">
        <v>49</v>
      </c>
      <c r="N138" t="s">
        <v>49</v>
      </c>
      <c r="O138" t="str">
        <f>IF(NOT(ISERROR( SEARCH(A138,#REF!))), "✓", "")</f>
        <v/>
      </c>
      <c r="S138" t="s">
        <v>49</v>
      </c>
      <c r="U138" t="s">
        <v>49</v>
      </c>
      <c r="Z138" t="s">
        <v>49</v>
      </c>
      <c r="AH138" t="s">
        <v>49</v>
      </c>
      <c r="AN138" s="56"/>
    </row>
    <row r="139" spans="1:40" ht="96" x14ac:dyDescent="0.2">
      <c r="A139" s="57" t="s">
        <v>501</v>
      </c>
      <c r="B139" s="51" t="s">
        <v>502</v>
      </c>
      <c r="C139" t="s">
        <v>503</v>
      </c>
      <c r="F139" s="53" t="str">
        <f>IF(AND(ISTEXT(""),""&lt;&gt;""), HYPERLINK("", "Link"),"-")</f>
        <v>-</v>
      </c>
      <c r="G139" s="65">
        <v>2023</v>
      </c>
      <c r="L139" t="s">
        <v>49</v>
      </c>
      <c r="M139" t="s">
        <v>49</v>
      </c>
      <c r="O139" t="str">
        <f>IF(NOT(ISERROR( SEARCH(A139,#REF!))), "✓", "")</f>
        <v/>
      </c>
      <c r="T139" t="s">
        <v>49</v>
      </c>
      <c r="Z139" t="s">
        <v>49</v>
      </c>
      <c r="AM139" t="s">
        <v>49</v>
      </c>
      <c r="AN139" s="56"/>
    </row>
    <row r="140" spans="1:40" ht="80" x14ac:dyDescent="0.2">
      <c r="A140" s="57" t="s">
        <v>504</v>
      </c>
      <c r="B140" s="51" t="s">
        <v>505</v>
      </c>
      <c r="C140" t="s">
        <v>503</v>
      </c>
      <c r="F140" s="53" t="str">
        <f>IF(AND(ISTEXT(""),""&lt;&gt;""), HYPERLINK("", "Link"),"-")</f>
        <v>-</v>
      </c>
      <c r="G140" s="65">
        <v>2023</v>
      </c>
      <c r="L140" t="s">
        <v>49</v>
      </c>
      <c r="M140" t="s">
        <v>49</v>
      </c>
      <c r="O140" t="str">
        <f>IF(NOT(ISERROR( SEARCH(A140,#REF!))), "✓", "")</f>
        <v/>
      </c>
      <c r="T140" t="s">
        <v>49</v>
      </c>
      <c r="Z140" t="s">
        <v>49</v>
      </c>
      <c r="AM140" t="s">
        <v>49</v>
      </c>
      <c r="AN140" s="56"/>
    </row>
    <row r="141" spans="1:40" ht="16" x14ac:dyDescent="0.2">
      <c r="A141" s="57" t="s">
        <v>506</v>
      </c>
      <c r="B141" s="51" t="s">
        <v>507</v>
      </c>
      <c r="C141" s="75" t="s">
        <v>508</v>
      </c>
      <c r="E141" t="s">
        <v>49</v>
      </c>
      <c r="F141" s="53" t="str">
        <f>IF(AND(ISTEXT("https://github.com/Ghands/Kaya"),"https://github.com/Ghands/Kaya"&lt;&gt;""), HYPERLINK("https://github.com/Ghands/Kaya", "Link"),"-")</f>
        <v>Link</v>
      </c>
      <c r="G141" s="54">
        <v>2020</v>
      </c>
      <c r="H141" s="53" t="s">
        <v>509</v>
      </c>
      <c r="J141" t="s">
        <v>366</v>
      </c>
      <c r="L141" t="s">
        <v>49</v>
      </c>
      <c r="N141" t="s">
        <v>49</v>
      </c>
      <c r="O141" t="str">
        <f>IF(NOT(ISERROR( SEARCH(A141,#REF!))), "✓", "")</f>
        <v/>
      </c>
      <c r="U141" t="s">
        <v>49</v>
      </c>
      <c r="W141" t="s">
        <v>49</v>
      </c>
      <c r="AL141" t="s">
        <v>49</v>
      </c>
      <c r="AN141" s="56"/>
    </row>
    <row r="142" spans="1:40" ht="64" x14ac:dyDescent="0.2">
      <c r="A142" s="57" t="s">
        <v>510</v>
      </c>
      <c r="B142" s="51" t="s">
        <v>511</v>
      </c>
      <c r="C142" t="s">
        <v>512</v>
      </c>
      <c r="E142" t="s">
        <v>49</v>
      </c>
      <c r="F142" s="53" t="str">
        <f>IF(AND(ISTEXT("https://github.com/SmartcontractTest/ConFuzzius-BI/tree/main"),"https://github.com/SmartcontractTest/ConFuzzius-BI/tree/main"&lt;&gt;""), HYPERLINK("https://github.com/SmartcontractTest/ConFuzzius-BI/tree/main", "Link"),"-")</f>
        <v>Link</v>
      </c>
      <c r="G142" s="54">
        <v>2022</v>
      </c>
      <c r="H142" s="53" t="s">
        <v>513</v>
      </c>
      <c r="J142" t="s">
        <v>51</v>
      </c>
      <c r="L142" t="s">
        <v>49</v>
      </c>
      <c r="M142" t="s">
        <v>49</v>
      </c>
      <c r="N142" t="s">
        <v>49</v>
      </c>
      <c r="O142" t="str">
        <f>IF(NOT(ISERROR( SEARCH(A142,#REF!))), "✓", "")</f>
        <v/>
      </c>
      <c r="T142" t="s">
        <v>49</v>
      </c>
      <c r="U142" t="s">
        <v>49</v>
      </c>
      <c r="W142" t="s">
        <v>49</v>
      </c>
      <c r="AC142" t="s">
        <v>49</v>
      </c>
      <c r="AG142" t="s">
        <v>49</v>
      </c>
      <c r="AJ142" t="s">
        <v>49</v>
      </c>
      <c r="AN142" s="56" t="s">
        <v>49</v>
      </c>
    </row>
    <row r="143" spans="1:40" ht="64" x14ac:dyDescent="0.2">
      <c r="A143" s="57" t="s">
        <v>514</v>
      </c>
      <c r="B143" s="51" t="s">
        <v>515</v>
      </c>
      <c r="C143" t="s">
        <v>516</v>
      </c>
      <c r="E143" t="s">
        <v>49</v>
      </c>
      <c r="F143" s="53" t="str">
        <f>IF(AND(ISTEXT("https://github.com/christoftorres/Horus"),"https://github.com/christoftorres/Horus"&lt;&gt;""), HYPERLINK("https://github.com/christoftorres/Horus", "Link"),"-")</f>
        <v>Link</v>
      </c>
      <c r="G143" s="63">
        <v>2021</v>
      </c>
      <c r="H143" s="53" t="s">
        <v>517</v>
      </c>
      <c r="I143" s="53" t="s">
        <v>517</v>
      </c>
      <c r="J143" t="s">
        <v>51</v>
      </c>
      <c r="L143" t="s">
        <v>49</v>
      </c>
      <c r="O143" t="str">
        <f>IF(NOT(ISERROR( SEARCH(A143,#REF!))), "✓", "")</f>
        <v/>
      </c>
      <c r="U143" t="s">
        <v>49</v>
      </c>
      <c r="W143" t="s">
        <v>49</v>
      </c>
      <c r="AN143" s="56" t="s">
        <v>49</v>
      </c>
    </row>
    <row r="144" spans="1:40" ht="48" x14ac:dyDescent="0.2">
      <c r="A144" s="57" t="s">
        <v>518</v>
      </c>
      <c r="B144" s="51" t="s">
        <v>519</v>
      </c>
      <c r="C144" t="s">
        <v>520</v>
      </c>
      <c r="F144" s="53" t="str">
        <f>IF(AND(ISTEXT(""),""&lt;&gt;""), HYPERLINK("", "Link"),"-")</f>
        <v>-</v>
      </c>
      <c r="G144" s="63">
        <v>2024</v>
      </c>
      <c r="K144" t="s">
        <v>49</v>
      </c>
      <c r="O144" t="str">
        <f>IF(NOT(ISERROR( SEARCH(A144,#REF!))), "✓", "")</f>
        <v/>
      </c>
      <c r="T144" t="s">
        <v>49</v>
      </c>
      <c r="V144" t="s">
        <v>49</v>
      </c>
      <c r="AC144" t="s">
        <v>49</v>
      </c>
      <c r="AG144" t="s">
        <v>49</v>
      </c>
      <c r="AN144" s="56"/>
    </row>
    <row r="145" spans="1:40" ht="32" x14ac:dyDescent="0.2">
      <c r="A145" s="57" t="s">
        <v>521</v>
      </c>
      <c r="B145" s="51" t="s">
        <v>522</v>
      </c>
      <c r="C145" s="64" t="s">
        <v>523</v>
      </c>
      <c r="F145" s="53" t="str">
        <f>IF(AND(ISTEXT(""),""&lt;&gt;""), HYPERLINK("", "Link"),"-")</f>
        <v>-</v>
      </c>
      <c r="G145" s="63">
        <v>2022</v>
      </c>
      <c r="L145" t="s">
        <v>49</v>
      </c>
      <c r="M145" t="s">
        <v>49</v>
      </c>
      <c r="O145" t="str">
        <f>IF(NOT(ISERROR( SEARCH(A145,#REF!))), "✓", "")</f>
        <v/>
      </c>
      <c r="T145" t="s">
        <v>49</v>
      </c>
      <c r="X145" t="s">
        <v>49</v>
      </c>
      <c r="AM145" t="s">
        <v>49</v>
      </c>
      <c r="AN145" s="56"/>
    </row>
    <row r="146" spans="1:40" ht="32" x14ac:dyDescent="0.2">
      <c r="A146" s="57" t="s">
        <v>524</v>
      </c>
      <c r="B146" s="51" t="s">
        <v>525</v>
      </c>
      <c r="C146" t="s">
        <v>526</v>
      </c>
      <c r="E146" t="s">
        <v>49</v>
      </c>
      <c r="F146" s="53" t="str">
        <f>IF(AND(ISTEXT("https://github.com/LaoSuanNaii/DL4SC"),"https://github.com/LaoSuanNaii/DL4SC"&lt;&gt;""), HYPERLINK("https://github.com/LaoSuanNaii/DL4SC", "Link"),"-")</f>
        <v>Link</v>
      </c>
      <c r="G146" s="63">
        <v>2024</v>
      </c>
      <c r="H146" s="53" t="s">
        <v>215</v>
      </c>
      <c r="I146" s="53" t="s">
        <v>215</v>
      </c>
      <c r="J146" t="s">
        <v>51</v>
      </c>
      <c r="K146" t="s">
        <v>49</v>
      </c>
      <c r="M146" t="s">
        <v>49</v>
      </c>
      <c r="O146" t="str">
        <f>IF(NOT(ISERROR( SEARCH(A146,#REF!))), "✓", "")</f>
        <v/>
      </c>
      <c r="T146" t="s">
        <v>49</v>
      </c>
      <c r="AM146" t="s">
        <v>49</v>
      </c>
      <c r="AN146" s="56"/>
    </row>
    <row r="147" spans="1:40" ht="48" x14ac:dyDescent="0.2">
      <c r="A147" s="57" t="s">
        <v>527</v>
      </c>
      <c r="B147" s="51" t="s">
        <v>528</v>
      </c>
      <c r="C147" s="64" t="s">
        <v>529</v>
      </c>
      <c r="F147" s="53" t="str">
        <f>IF(AND(ISTEXT(""),""&lt;&gt;""), HYPERLINK("", "Link"),"-")</f>
        <v>-</v>
      </c>
      <c r="G147" s="63">
        <v>2024</v>
      </c>
      <c r="K147" t="s">
        <v>49</v>
      </c>
      <c r="M147" t="s">
        <v>49</v>
      </c>
      <c r="O147" t="str">
        <f>IF(NOT(ISERROR( SEARCH(A147,#REF!))), "✓", "")</f>
        <v/>
      </c>
      <c r="T147" t="s">
        <v>49</v>
      </c>
      <c r="V147" t="s">
        <v>49</v>
      </c>
      <c r="AM147" t="s">
        <v>49</v>
      </c>
      <c r="AN147" s="56"/>
    </row>
    <row r="148" spans="1:40" ht="48" x14ac:dyDescent="0.2">
      <c r="A148" s="57" t="s">
        <v>530</v>
      </c>
      <c r="B148" s="51" t="s">
        <v>531</v>
      </c>
      <c r="C148" t="s">
        <v>532</v>
      </c>
      <c r="F148" s="53" t="str">
        <f>IF(AND(ISTEXT(""),""&lt;&gt;""), HYPERLINK("", "Link"),"-")</f>
        <v>-</v>
      </c>
      <c r="G148" s="63">
        <v>2023</v>
      </c>
      <c r="L148" t="s">
        <v>49</v>
      </c>
      <c r="M148" t="s">
        <v>49</v>
      </c>
      <c r="N148" t="s">
        <v>49</v>
      </c>
      <c r="O148" t="str">
        <f>IF(NOT(ISERROR( SEARCH(A148,#REF!))), "✓", "")</f>
        <v/>
      </c>
      <c r="S148" t="s">
        <v>49</v>
      </c>
      <c r="T148" t="s">
        <v>49</v>
      </c>
      <c r="V148" t="s">
        <v>49</v>
      </c>
      <c r="AM148" t="s">
        <v>49</v>
      </c>
      <c r="AN148" s="56"/>
    </row>
    <row r="149" spans="1:40" ht="160" x14ac:dyDescent="0.2">
      <c r="A149" s="76" t="s">
        <v>533</v>
      </c>
      <c r="B149" s="51" t="s">
        <v>534</v>
      </c>
      <c r="C149" s="66" t="s">
        <v>535</v>
      </c>
      <c r="E149" t="s">
        <v>49</v>
      </c>
      <c r="F149" s="53" t="str">
        <f>IF(AND(ISTEXT("https://github.com/chenpp1881/Clear"),"https://github.com/chenpp1881/Clear"&lt;&gt;""), HYPERLINK("https://github.com/chenpp1881/Clear", "Link"),"-")</f>
        <v>Link</v>
      </c>
      <c r="G149" s="63">
        <v>2024</v>
      </c>
      <c r="H149" s="61">
        <v>2023</v>
      </c>
      <c r="I149" s="53" t="s">
        <v>536</v>
      </c>
      <c r="J149" t="s">
        <v>51</v>
      </c>
      <c r="L149" t="s">
        <v>49</v>
      </c>
      <c r="M149" t="s">
        <v>49</v>
      </c>
      <c r="T149" t="s">
        <v>49</v>
      </c>
      <c r="AM149" t="s">
        <v>537</v>
      </c>
      <c r="AN149" s="56"/>
    </row>
    <row r="150" spans="1:40" ht="144" x14ac:dyDescent="0.2">
      <c r="A150" s="76" t="s">
        <v>538</v>
      </c>
      <c r="B150" s="51" t="s">
        <v>539</v>
      </c>
      <c r="C150" s="64" t="s">
        <v>540</v>
      </c>
      <c r="E150" t="s">
        <v>49</v>
      </c>
      <c r="F150" s="53" t="str">
        <f>IF(AND(ISTEXT("https://github.com/NioTheFirst/ScType"),"https://github.com/NioTheFirst/ScType"&lt;&gt;""), HYPERLINK("https://github.com/NioTheFirst/ScType", "Link"),"-")</f>
        <v>Link</v>
      </c>
      <c r="G150" s="63">
        <v>2024</v>
      </c>
      <c r="H150" s="61">
        <v>2023</v>
      </c>
      <c r="I150">
        <v>2024</v>
      </c>
      <c r="J150" t="s">
        <v>51</v>
      </c>
      <c r="L150" t="s">
        <v>49</v>
      </c>
      <c r="N150" t="s">
        <v>49</v>
      </c>
      <c r="S150" t="s">
        <v>49</v>
      </c>
      <c r="T150" t="s">
        <v>49</v>
      </c>
      <c r="AD150" t="s">
        <v>49</v>
      </c>
      <c r="AF150" t="s">
        <v>49</v>
      </c>
      <c r="AN150" s="56"/>
    </row>
    <row r="151" spans="1:40" ht="32" x14ac:dyDescent="0.2">
      <c r="A151" s="76" t="s">
        <v>541</v>
      </c>
      <c r="B151" s="51" t="s">
        <v>542</v>
      </c>
      <c r="C151" s="64" t="s">
        <v>543</v>
      </c>
      <c r="E151" t="s">
        <v>49</v>
      </c>
      <c r="F151" s="53" t="str">
        <f>IF(AND(ISTEXT("https://metatrust.io/metascan"),"https://metatrust.io/metascan"&lt;&gt;""), HYPERLINK("https://metatrust.io/metascan", "Link"),"-")</f>
        <v>Link</v>
      </c>
      <c r="G151" s="63">
        <v>2024</v>
      </c>
      <c r="L151" t="s">
        <v>49</v>
      </c>
      <c r="M151" t="s">
        <v>49</v>
      </c>
      <c r="S151" t="s">
        <v>49</v>
      </c>
      <c r="T151" t="s">
        <v>49</v>
      </c>
      <c r="AM151" t="s">
        <v>537</v>
      </c>
      <c r="AN151" s="56"/>
    </row>
    <row r="152" spans="1:40" ht="112" x14ac:dyDescent="0.2">
      <c r="A152" s="76" t="s">
        <v>544</v>
      </c>
      <c r="B152" s="51" t="s">
        <v>545</v>
      </c>
      <c r="C152" s="64" t="s">
        <v>546</v>
      </c>
      <c r="E152" t="s">
        <v>49</v>
      </c>
      <c r="F152" s="53" t="str">
        <f>IF(AND(ISTEXT("https://figshare.com/articles/software/scvhunter/24566893/1?file=43154218"),"https://figshare.com/articles/software/scvhunter/24566893/1?file=43154218"&lt;&gt;""), HYPERLINK("https://figshare.com/articles/software/scvhunter/24566893/1?file=43154218", "Link"),"-")</f>
        <v>Link</v>
      </c>
      <c r="G152" s="63">
        <v>2024</v>
      </c>
      <c r="H152" s="61">
        <v>2024</v>
      </c>
      <c r="I152" t="s">
        <v>280</v>
      </c>
      <c r="J152" t="s">
        <v>51</v>
      </c>
      <c r="L152" t="s">
        <v>49</v>
      </c>
      <c r="M152" t="s">
        <v>49</v>
      </c>
      <c r="T152" t="s">
        <v>49</v>
      </c>
      <c r="Z152" t="s">
        <v>49</v>
      </c>
      <c r="AM152" t="s">
        <v>537</v>
      </c>
      <c r="AN152" s="56"/>
    </row>
    <row r="153" spans="1:40" ht="112" x14ac:dyDescent="0.2">
      <c r="A153" s="76" t="s">
        <v>547</v>
      </c>
      <c r="B153" s="51" t="s">
        <v>548</v>
      </c>
      <c r="C153" s="64" t="s">
        <v>549</v>
      </c>
      <c r="F153" s="53" t="str">
        <f>IF(AND(ISTEXT(""),""&lt;&gt;""), HYPERLINK("", "Link"),"-")</f>
        <v>-</v>
      </c>
      <c r="G153" s="63">
        <v>2024</v>
      </c>
      <c r="J153" t="s">
        <v>51</v>
      </c>
      <c r="L153" t="s">
        <v>49</v>
      </c>
      <c r="N153" t="s">
        <v>49</v>
      </c>
      <c r="T153" t="s">
        <v>49</v>
      </c>
      <c r="AD153" t="s">
        <v>49</v>
      </c>
      <c r="AE153" t="s">
        <v>49</v>
      </c>
      <c r="AN153" s="56"/>
    </row>
    <row r="154" spans="1:40" ht="128" x14ac:dyDescent="0.2">
      <c r="A154" s="76" t="s">
        <v>550</v>
      </c>
      <c r="B154" s="51" t="s">
        <v>551</v>
      </c>
      <c r="C154" s="64" t="s">
        <v>552</v>
      </c>
      <c r="F154" s="53" t="str">
        <f>IF(AND(ISTEXT(""),""&lt;&gt;""), HYPERLINK("", "Link"),"-")</f>
        <v>-</v>
      </c>
      <c r="G154" s="63">
        <v>2024</v>
      </c>
      <c r="I154" s="61"/>
      <c r="L154" t="s">
        <v>49</v>
      </c>
      <c r="N154" t="s">
        <v>49</v>
      </c>
      <c r="T154" t="s">
        <v>49</v>
      </c>
      <c r="AD154" t="s">
        <v>49</v>
      </c>
      <c r="AE154" t="s">
        <v>49</v>
      </c>
      <c r="AN154" s="56"/>
    </row>
    <row r="155" spans="1:40" ht="80" x14ac:dyDescent="0.2">
      <c r="A155" s="76" t="s">
        <v>553</v>
      </c>
      <c r="B155" s="51" t="s">
        <v>554</v>
      </c>
      <c r="C155" s="64" t="s">
        <v>555</v>
      </c>
      <c r="E155" t="s">
        <v>49</v>
      </c>
      <c r="F155" s="53" t="str">
        <f>IF(AND(ISTEXT("https://github.com/shuo-young/BlockWatchdog"),"https://github.com/shuo-young/BlockWatchdog"&lt;&gt;""), HYPERLINK("https://github.com/shuo-young/BlockWatchdog", "Link"),"-")</f>
        <v>Link</v>
      </c>
      <c r="G155" s="63">
        <v>2024</v>
      </c>
      <c r="H155" s="61">
        <v>2024</v>
      </c>
      <c r="I155" s="61">
        <v>2024</v>
      </c>
      <c r="K155" t="s">
        <v>49</v>
      </c>
      <c r="M155" t="s">
        <v>49</v>
      </c>
      <c r="T155" t="s">
        <v>49</v>
      </c>
      <c r="U155" t="s">
        <v>49</v>
      </c>
      <c r="V155" t="s">
        <v>49</v>
      </c>
      <c r="W155" t="s">
        <v>49</v>
      </c>
      <c r="Y155" t="s">
        <v>49</v>
      </c>
      <c r="Z155" t="s">
        <v>49</v>
      </c>
      <c r="AN155" s="56" t="s">
        <v>49</v>
      </c>
    </row>
    <row r="156" spans="1:40" ht="128" x14ac:dyDescent="0.2">
      <c r="A156" s="76" t="s">
        <v>556</v>
      </c>
      <c r="B156" s="51" t="s">
        <v>557</v>
      </c>
      <c r="C156" s="64" t="s">
        <v>558</v>
      </c>
      <c r="E156" t="s">
        <v>49</v>
      </c>
      <c r="F156" s="53" t="str">
        <f>IF(AND(ISTEXT("https://figshare.com/s/6143dfd54a3d3eadde31"),"https://figshare.com/s/6143dfd54a3d3eadde31"&lt;&gt;""), HYPERLINK("https://figshare.com/s/6143dfd54a3d3eadde31", "Link"),"-")</f>
        <v>Link</v>
      </c>
      <c r="G156" s="63">
        <v>2024</v>
      </c>
      <c r="H156" s="61">
        <v>2024</v>
      </c>
      <c r="I156" s="61">
        <v>2024</v>
      </c>
      <c r="K156" t="s">
        <v>49</v>
      </c>
      <c r="M156" t="s">
        <v>49</v>
      </c>
      <c r="R156" t="s">
        <v>49</v>
      </c>
      <c r="T156" t="s">
        <v>49</v>
      </c>
      <c r="AN156" s="56"/>
    </row>
    <row r="157" spans="1:40" ht="48" x14ac:dyDescent="0.2">
      <c r="A157" s="76" t="s">
        <v>559</v>
      </c>
      <c r="B157" s="51" t="s">
        <v>560</v>
      </c>
      <c r="C157" s="64" t="s">
        <v>561</v>
      </c>
      <c r="E157" t="s">
        <v>49</v>
      </c>
      <c r="F157" s="53" t="str">
        <f>IF(AND(ISTEXT("https://github.com/jeffchen006/OpenTracer"),"https://github.com/jeffchen006/OpenTracer"&lt;&gt;""), HYPERLINK("https://github.com/jeffchen006/OpenTracer", "Link"),"-")</f>
        <v>Link</v>
      </c>
      <c r="G157" s="63">
        <v>2024</v>
      </c>
      <c r="H157" s="61">
        <v>2024</v>
      </c>
      <c r="I157" s="61">
        <v>2024</v>
      </c>
      <c r="L157" t="s">
        <v>562</v>
      </c>
      <c r="M157" t="s">
        <v>49</v>
      </c>
      <c r="O157" t="s">
        <v>49</v>
      </c>
      <c r="U157" t="s">
        <v>49</v>
      </c>
      <c r="W157" t="s">
        <v>49</v>
      </c>
      <c r="AN157" s="56" t="s">
        <v>49</v>
      </c>
    </row>
    <row r="158" spans="1:40" ht="48" x14ac:dyDescent="0.2">
      <c r="A158" s="76" t="s">
        <v>563</v>
      </c>
      <c r="B158" s="51" t="s">
        <v>564</v>
      </c>
      <c r="C158" s="64" t="s">
        <v>565</v>
      </c>
      <c r="F158" s="53" t="str">
        <f>IF(AND(ISTEXT(""),""&lt;&gt;""), HYPERLINK("", "Link"),"-")</f>
        <v>-</v>
      </c>
      <c r="G158" s="63">
        <v>2024</v>
      </c>
      <c r="K158" t="s">
        <v>49</v>
      </c>
      <c r="M158" t="s">
        <v>49</v>
      </c>
      <c r="T158" t="s">
        <v>49</v>
      </c>
      <c r="V158" t="s">
        <v>49</v>
      </c>
      <c r="AN158" s="56"/>
    </row>
    <row r="159" spans="1:40" ht="80" x14ac:dyDescent="0.2">
      <c r="A159" s="76" t="s">
        <v>566</v>
      </c>
      <c r="B159" s="51" t="s">
        <v>567</v>
      </c>
      <c r="C159" s="64" t="s">
        <v>568</v>
      </c>
      <c r="E159" t="s">
        <v>49</v>
      </c>
      <c r="F159" s="53" t="str">
        <f>IF(AND(ISTEXT("https://figshare.com/s/3f864a6e7c6245ad9704"),"https://figshare.com/s/3f864a6e7c6245ad9704"&lt;&gt;""), HYPERLINK("https://figshare.com/s/3f864a6e7c6245ad9704", "Link"),"-")</f>
        <v>Link</v>
      </c>
      <c r="G159" s="63">
        <v>2024</v>
      </c>
      <c r="H159" s="61">
        <v>2024</v>
      </c>
      <c r="I159" s="61">
        <v>2024</v>
      </c>
      <c r="L159" t="s">
        <v>49</v>
      </c>
      <c r="M159" t="s">
        <v>49</v>
      </c>
      <c r="Q159" t="s">
        <v>49</v>
      </c>
      <c r="T159" t="s">
        <v>49</v>
      </c>
      <c r="AN159" s="56"/>
    </row>
    <row r="160" spans="1:40" ht="32" x14ac:dyDescent="0.2">
      <c r="A160" s="76" t="s">
        <v>569</v>
      </c>
      <c r="B160" s="51" t="s">
        <v>570</v>
      </c>
      <c r="C160" s="64" t="s">
        <v>571</v>
      </c>
      <c r="E160" t="s">
        <v>49</v>
      </c>
      <c r="F160" s="53" t="str">
        <f>IF(AND(ISTEXT("https://github.com/CheWang09/LLM4SMAPR"),"https://github.com/CheWang09/LLM4SMAPR"&lt;&gt;""), HYPERLINK("https://github.com/CheWang09/LLM4SMAPR", "Link"),"-")</f>
        <v>Link</v>
      </c>
      <c r="G160" s="63">
        <v>2024</v>
      </c>
      <c r="H160" s="61">
        <v>2024</v>
      </c>
      <c r="I160" s="61">
        <v>2024</v>
      </c>
      <c r="J160" t="s">
        <v>366</v>
      </c>
      <c r="L160" t="s">
        <v>49</v>
      </c>
      <c r="R160" t="s">
        <v>49</v>
      </c>
      <c r="T160" t="s">
        <v>49</v>
      </c>
      <c r="V160" t="s">
        <v>49</v>
      </c>
      <c r="W160" t="s">
        <v>49</v>
      </c>
      <c r="X160" t="s">
        <v>49</v>
      </c>
      <c r="AN160" s="56"/>
    </row>
    <row r="161" spans="1:40" ht="80" x14ac:dyDescent="0.2">
      <c r="A161" s="76" t="s">
        <v>572</v>
      </c>
      <c r="B161" s="51" t="s">
        <v>573</v>
      </c>
      <c r="C161" s="64" t="s">
        <v>574</v>
      </c>
      <c r="E161" t="s">
        <v>49</v>
      </c>
      <c r="F161" s="53" t="str">
        <f>IF(AND(ISTEXT("https://github.com/mojtaba-eshghie/HighGuard"),"https://github.com/mojtaba-eshghie/HighGuard"&lt;&gt;""), HYPERLINK("https://github.com/mojtaba-eshghie/HighGuard", "Link"),"-")</f>
        <v>Link</v>
      </c>
      <c r="G161" s="63">
        <v>2024</v>
      </c>
      <c r="H161" s="61">
        <v>2024</v>
      </c>
      <c r="I161" s="61">
        <v>2024</v>
      </c>
      <c r="J161" t="s">
        <v>51</v>
      </c>
      <c r="L161" t="s">
        <v>49</v>
      </c>
      <c r="N161" t="s">
        <v>49</v>
      </c>
      <c r="R161" t="s">
        <v>49</v>
      </c>
      <c r="U161" t="s">
        <v>49</v>
      </c>
      <c r="W161" t="s">
        <v>49</v>
      </c>
      <c r="AD161" t="s">
        <v>49</v>
      </c>
      <c r="AE161" t="s">
        <v>49</v>
      </c>
      <c r="AN161" s="56"/>
    </row>
    <row r="162" spans="1:40" ht="48" x14ac:dyDescent="0.2">
      <c r="A162" s="76" t="s">
        <v>575</v>
      </c>
      <c r="B162" s="51" t="s">
        <v>576</v>
      </c>
      <c r="C162" s="64" t="s">
        <v>577</v>
      </c>
      <c r="E162" t="s">
        <v>49</v>
      </c>
      <c r="F162" s="53" t="str">
        <f>IF(AND(ISTEXT("https://github.com/mojtaba-eshghie/XploGen"),"https://github.com/mojtaba-eshghie/XploGen"&lt;&gt;""), HYPERLINK("https://github.com/mojtaba-eshghie/XploGen", "Link"),"-")</f>
        <v>Link</v>
      </c>
      <c r="G162" s="63">
        <v>2024</v>
      </c>
      <c r="H162" s="61">
        <v>2024</v>
      </c>
      <c r="I162" s="61">
        <v>2024</v>
      </c>
      <c r="J162" t="s">
        <v>51</v>
      </c>
      <c r="L162" t="s">
        <v>49</v>
      </c>
      <c r="Q162" t="s">
        <v>49</v>
      </c>
      <c r="T162" t="s">
        <v>49</v>
      </c>
      <c r="U162" t="s">
        <v>49</v>
      </c>
      <c r="AD162" t="s">
        <v>49</v>
      </c>
      <c r="AE162" t="s">
        <v>49</v>
      </c>
      <c r="AN162" s="56"/>
    </row>
    <row r="163" spans="1:40" ht="64" x14ac:dyDescent="0.2">
      <c r="A163" s="76" t="s">
        <v>578</v>
      </c>
      <c r="B163" s="51" t="s">
        <v>579</v>
      </c>
      <c r="C163" s="64" t="s">
        <v>580</v>
      </c>
      <c r="F163" s="53" t="str">
        <f>IF(AND(ISTEXT(""),""&lt;&gt;""), HYPERLINK("", "Link"),"-")</f>
        <v>-</v>
      </c>
      <c r="G163" s="63">
        <v>2024</v>
      </c>
      <c r="L163" t="s">
        <v>49</v>
      </c>
      <c r="U163" t="s">
        <v>49</v>
      </c>
      <c r="W163" t="s">
        <v>49</v>
      </c>
      <c r="AH163" t="s">
        <v>49</v>
      </c>
      <c r="AN163" s="56" t="s">
        <v>49</v>
      </c>
    </row>
    <row r="164" spans="1:40" ht="48" x14ac:dyDescent="0.2">
      <c r="A164" s="76" t="s">
        <v>581</v>
      </c>
      <c r="B164" s="51" t="s">
        <v>582</v>
      </c>
      <c r="C164" s="64" t="s">
        <v>583</v>
      </c>
      <c r="E164" t="s">
        <v>49</v>
      </c>
      <c r="F164" s="53" t="str">
        <f>IF(AND(ISTEXT("https://zenodo.org/records/12671411"),"https://zenodo.org/records/12671411"&lt;&gt;""), HYPERLINK("https://zenodo.org/records/12671411", "Link"),"-")</f>
        <v>Link</v>
      </c>
      <c r="G164" s="63">
        <v>2024</v>
      </c>
      <c r="H164" s="61">
        <v>2024</v>
      </c>
      <c r="I164" s="61">
        <v>2024</v>
      </c>
      <c r="J164" s="61"/>
      <c r="L164" t="s">
        <v>49</v>
      </c>
      <c r="O164" t="s">
        <v>49</v>
      </c>
      <c r="T164" t="s">
        <v>49</v>
      </c>
      <c r="AN164" s="56"/>
    </row>
    <row r="165" spans="1:40" ht="96" x14ac:dyDescent="0.2">
      <c r="A165" s="76" t="s">
        <v>584</v>
      </c>
      <c r="B165" s="51" t="s">
        <v>585</v>
      </c>
      <c r="C165" s="64" t="s">
        <v>586</v>
      </c>
      <c r="E165" t="s">
        <v>49</v>
      </c>
      <c r="F165" s="53" t="str">
        <f>IF(AND(ISTEXT("https://github.com/BugmakerCC/SOChecker"),"https://github.com/BugmakerCC/SOChecker"&lt;&gt;""), HYPERLINK("https://github.com/BugmakerCC/SOChecker", "Link"),"-")</f>
        <v>Link</v>
      </c>
      <c r="G165" s="63">
        <v>2024</v>
      </c>
      <c r="H165" s="61">
        <v>2024</v>
      </c>
      <c r="I165" s="61">
        <v>2024</v>
      </c>
      <c r="J165" t="s">
        <v>51</v>
      </c>
      <c r="L165" t="s">
        <v>49</v>
      </c>
      <c r="M165" t="s">
        <v>49</v>
      </c>
      <c r="S165" t="s">
        <v>49</v>
      </c>
      <c r="T165" t="s">
        <v>49</v>
      </c>
      <c r="V165" t="s">
        <v>49</v>
      </c>
      <c r="X165" t="s">
        <v>49</v>
      </c>
      <c r="AC165" t="s">
        <v>49</v>
      </c>
      <c r="AN165" s="56"/>
    </row>
    <row r="166" spans="1:40" ht="48" x14ac:dyDescent="0.2">
      <c r="A166" s="76" t="s">
        <v>587</v>
      </c>
      <c r="B166" s="51" t="s">
        <v>588</v>
      </c>
      <c r="C166" s="66" t="s">
        <v>589</v>
      </c>
      <c r="E166" t="s">
        <v>49</v>
      </c>
      <c r="F166" s="53" t="str">
        <f>IF(AND(ISTEXT("https://github.com/MingxiYe/Midas"),"https://github.com/MingxiYe/Midas"&lt;&gt;""), HYPERLINK("https://github.com/MingxiYe/Midas", "Link"),"-")</f>
        <v>Link</v>
      </c>
      <c r="G166" s="63">
        <v>2024</v>
      </c>
      <c r="H166" s="61">
        <v>2024</v>
      </c>
      <c r="I166" s="61">
        <v>2024</v>
      </c>
      <c r="J166" t="s">
        <v>216</v>
      </c>
      <c r="L166" t="s">
        <v>590</v>
      </c>
      <c r="M166" s="66"/>
      <c r="Q166" s="66" t="s">
        <v>49</v>
      </c>
      <c r="T166" s="66"/>
      <c r="U166" s="66" t="s">
        <v>49</v>
      </c>
      <c r="W166" s="66" t="s">
        <v>49</v>
      </c>
      <c r="AG166" s="66" t="s">
        <v>49</v>
      </c>
      <c r="AN166" s="56"/>
    </row>
    <row r="167" spans="1:40" ht="48" x14ac:dyDescent="0.2">
      <c r="A167" s="76" t="s">
        <v>591</v>
      </c>
      <c r="B167" s="51" t="s">
        <v>592</v>
      </c>
      <c r="C167" s="64" t="s">
        <v>593</v>
      </c>
      <c r="F167" s="53" t="str">
        <f>IF(AND(ISTEXT(""),""&lt;&gt;""), HYPERLINK("", "Link"),"-")</f>
        <v>-</v>
      </c>
      <c r="G167" s="63">
        <v>2024</v>
      </c>
      <c r="H167" s="61">
        <v>2024</v>
      </c>
      <c r="I167" s="61">
        <v>2024</v>
      </c>
      <c r="L167" t="s">
        <v>49</v>
      </c>
      <c r="N167" t="s">
        <v>49</v>
      </c>
      <c r="S167" t="s">
        <v>49</v>
      </c>
      <c r="T167" t="s">
        <v>49</v>
      </c>
      <c r="AE167" t="s">
        <v>49</v>
      </c>
      <c r="AN167" s="56"/>
    </row>
    <row r="168" spans="1:40" ht="32" x14ac:dyDescent="0.2">
      <c r="A168" s="76" t="s">
        <v>594</v>
      </c>
      <c r="B168" s="51" t="s">
        <v>595</v>
      </c>
      <c r="C168" s="66" t="s">
        <v>596</v>
      </c>
      <c r="F168" s="53" t="str">
        <f>IF(AND(ISTEXT(""),""&lt;&gt;""), HYPERLINK("", "Link"),"-")</f>
        <v>-</v>
      </c>
      <c r="G168" s="63">
        <v>2024</v>
      </c>
      <c r="I168" s="61"/>
      <c r="L168" t="s">
        <v>49</v>
      </c>
      <c r="N168" t="s">
        <v>49</v>
      </c>
      <c r="T168" t="s">
        <v>49</v>
      </c>
      <c r="U168" t="s">
        <v>49</v>
      </c>
      <c r="W168" t="s">
        <v>49</v>
      </c>
      <c r="AH168" t="s">
        <v>49</v>
      </c>
      <c r="AN168" s="56" t="s">
        <v>49</v>
      </c>
    </row>
    <row r="169" spans="1:40" ht="48" x14ac:dyDescent="0.2">
      <c r="A169" s="76" t="s">
        <v>597</v>
      </c>
      <c r="B169" s="51" t="s">
        <v>598</v>
      </c>
      <c r="C169" s="64" t="s">
        <v>599</v>
      </c>
      <c r="E169" t="s">
        <v>49</v>
      </c>
      <c r="F169" s="53" t="str">
        <f>IF(AND(ISTEXT("https://github.com/Anonymous123xx/RLRep"),"https://github.com/Anonymous123xx/RLRep"&lt;&gt;""), HYPERLINK("https://github.com/Anonymous123xx/RLRep", "Link"),"-")</f>
        <v>Link</v>
      </c>
      <c r="G169" s="63">
        <v>2024</v>
      </c>
      <c r="H169" s="61">
        <v>2022</v>
      </c>
      <c r="I169" s="61">
        <v>2024</v>
      </c>
      <c r="J169" t="s">
        <v>51</v>
      </c>
      <c r="L169" t="s">
        <v>49</v>
      </c>
      <c r="M169" t="s">
        <v>49</v>
      </c>
      <c r="N169" t="s">
        <v>49</v>
      </c>
      <c r="S169" t="s">
        <v>49</v>
      </c>
      <c r="T169" t="s">
        <v>49</v>
      </c>
      <c r="X169" t="s">
        <v>49</v>
      </c>
      <c r="AK169" t="s">
        <v>49</v>
      </c>
      <c r="AM169" t="s">
        <v>49</v>
      </c>
      <c r="AN169" s="56"/>
    </row>
    <row r="170" spans="1:40" ht="48" x14ac:dyDescent="0.2">
      <c r="A170" s="76" t="s">
        <v>600</v>
      </c>
      <c r="B170" s="51" t="s">
        <v>601</v>
      </c>
      <c r="C170" s="66" t="s">
        <v>602</v>
      </c>
      <c r="E170" t="s">
        <v>49</v>
      </c>
      <c r="F170" s="53" t="str">
        <f>IF(AND(ISTEXT("https://github.com/MingxiYe/FunFuzz/"),"https://github.com/MingxiYe/FunFuzz/"&lt;&gt;""), HYPERLINK("https://github.com/MingxiYe/FunFuzz/", "Link"),"-")</f>
        <v>Link</v>
      </c>
      <c r="G170" s="63">
        <v>2024</v>
      </c>
      <c r="H170" s="61">
        <v>2021</v>
      </c>
      <c r="I170" s="77">
        <v>2023</v>
      </c>
      <c r="J170" t="s">
        <v>116</v>
      </c>
      <c r="K170" t="s">
        <v>49</v>
      </c>
      <c r="M170" t="s">
        <v>49</v>
      </c>
      <c r="U170" t="s">
        <v>49</v>
      </c>
      <c r="V170" t="s">
        <v>49</v>
      </c>
      <c r="AG170" t="s">
        <v>49</v>
      </c>
      <c r="AN170" s="56"/>
    </row>
    <row r="171" spans="1:40" ht="112" x14ac:dyDescent="0.2">
      <c r="A171" s="76" t="s">
        <v>603</v>
      </c>
      <c r="B171" s="51" t="s">
        <v>604</v>
      </c>
      <c r="C171" s="66" t="s">
        <v>605</v>
      </c>
      <c r="F171" s="53" t="str">
        <f>IF(AND(ISTEXT(""),""&lt;&gt;""), HYPERLINK("", "Link"),"-")</f>
        <v>-</v>
      </c>
      <c r="G171" s="78">
        <v>2025</v>
      </c>
      <c r="L171" t="s">
        <v>49</v>
      </c>
      <c r="M171" t="s">
        <v>49</v>
      </c>
      <c r="T171" t="s">
        <v>49</v>
      </c>
      <c r="V171" t="s">
        <v>49</v>
      </c>
      <c r="X171" t="s">
        <v>49</v>
      </c>
      <c r="Z171" t="s">
        <v>49</v>
      </c>
      <c r="AN171" s="56"/>
    </row>
    <row r="172" spans="1:40" ht="80" x14ac:dyDescent="0.2">
      <c r="A172" s="76" t="s">
        <v>606</v>
      </c>
      <c r="B172" s="51" t="s">
        <v>607</v>
      </c>
      <c r="C172" s="64" t="s">
        <v>608</v>
      </c>
      <c r="F172" s="53" t="str">
        <f>IF(AND(ISTEXT(""),""&lt;&gt;""), HYPERLINK("", "Link"),"-")</f>
        <v>-</v>
      </c>
      <c r="G172" s="63">
        <v>2024</v>
      </c>
      <c r="K172" t="s">
        <v>49</v>
      </c>
      <c r="M172" t="s">
        <v>49</v>
      </c>
      <c r="T172" t="s">
        <v>49</v>
      </c>
      <c r="V172" t="s">
        <v>49</v>
      </c>
      <c r="AD172" t="s">
        <v>49</v>
      </c>
      <c r="AN172" s="56"/>
    </row>
    <row r="173" spans="1:40" ht="80" x14ac:dyDescent="0.2">
      <c r="A173" s="76" t="s">
        <v>609</v>
      </c>
      <c r="B173" s="51" t="s">
        <v>610</v>
      </c>
      <c r="C173" s="64" t="s">
        <v>611</v>
      </c>
      <c r="F173" s="53" t="str">
        <f>IF(AND(ISTEXT("https://github.com/uni-due-syssec/efcf-framework/"),"https://github.com/uni-due-syssec/efcf-framework/"&lt;&gt;""), HYPERLINK("https://github.com/uni-due-syssec/efcf-framework/", "Link"),"-")</f>
        <v>Link</v>
      </c>
      <c r="G173" s="63">
        <v>2023</v>
      </c>
      <c r="H173" s="61">
        <v>2023</v>
      </c>
      <c r="I173" s="61">
        <v>2023</v>
      </c>
      <c r="K173" t="s">
        <v>49</v>
      </c>
      <c r="M173" t="s">
        <v>49</v>
      </c>
      <c r="U173" t="s">
        <v>49</v>
      </c>
      <c r="W173" t="s">
        <v>49</v>
      </c>
      <c r="AG173" t="s">
        <v>49</v>
      </c>
      <c r="AH173" t="s">
        <v>49</v>
      </c>
      <c r="AN173" s="56"/>
    </row>
    <row r="174" spans="1:40" ht="16" x14ac:dyDescent="0.2">
      <c r="A174" s="76" t="s">
        <v>612</v>
      </c>
      <c r="B174" s="51" t="s">
        <v>613</v>
      </c>
      <c r="C174" s="64" t="s">
        <v>614</v>
      </c>
      <c r="E174" t="s">
        <v>49</v>
      </c>
      <c r="F174" s="53" t="str">
        <f>IF(AND(ISTEXT("https://github.com/Franklinliu/InvConPlus-Tool/tree/main"),"https://github.com/Franklinliu/InvConPlus-Tool/tree/main"&lt;&gt;""), HYPERLINK("https://github.com/Franklinliu/InvConPlus-Tool/tree/main", "Link"),"-")</f>
        <v>Link</v>
      </c>
      <c r="G174" s="63">
        <v>2023</v>
      </c>
      <c r="H174" s="61">
        <v>2023</v>
      </c>
      <c r="I174" s="61">
        <v>2024</v>
      </c>
      <c r="L174" t="s">
        <v>49</v>
      </c>
      <c r="N174" t="s">
        <v>49</v>
      </c>
      <c r="U174" t="s">
        <v>49</v>
      </c>
      <c r="W174" t="s">
        <v>49</v>
      </c>
      <c r="AN174" s="56"/>
    </row>
    <row r="175" spans="1:40" ht="112" x14ac:dyDescent="0.2">
      <c r="A175" s="76" t="s">
        <v>615</v>
      </c>
      <c r="B175" s="51" t="s">
        <v>616</v>
      </c>
      <c r="C175" t="s">
        <v>617</v>
      </c>
      <c r="E175" t="s">
        <v>49</v>
      </c>
      <c r="F175" s="53" t="str">
        <f>IF(AND(ISTEXT("https://github.com/Franklinliu/InvCon-Tool"),"https://github.com/Franklinliu/InvCon-Tool"&lt;&gt;""), HYPERLINK("https://github.com/Franklinliu/InvCon-Tool", "Link"),"-")</f>
        <v>Link</v>
      </c>
      <c r="G175" s="63">
        <v>2022</v>
      </c>
      <c r="H175" s="61">
        <v>2022</v>
      </c>
      <c r="I175" s="61">
        <v>2022</v>
      </c>
      <c r="J175" t="s">
        <v>618</v>
      </c>
      <c r="L175" t="s">
        <v>590</v>
      </c>
      <c r="N175" t="s">
        <v>49</v>
      </c>
      <c r="U175" t="s">
        <v>49</v>
      </c>
      <c r="W175" t="s">
        <v>49</v>
      </c>
      <c r="AN175" s="56"/>
    </row>
    <row r="176" spans="1:40" ht="64" x14ac:dyDescent="0.2">
      <c r="A176" s="76" t="s">
        <v>619</v>
      </c>
      <c r="B176" s="51" t="s">
        <v>620</v>
      </c>
      <c r="C176" s="64" t="s">
        <v>621</v>
      </c>
      <c r="F176" s="53" t="str">
        <f>IF(AND(ISTEXT(""),""&lt;&gt;""), HYPERLINK("", "Link"),"-")</f>
        <v>-</v>
      </c>
      <c r="G176" s="63">
        <v>2022</v>
      </c>
      <c r="L176" t="s">
        <v>49</v>
      </c>
      <c r="M176" t="s">
        <v>49</v>
      </c>
      <c r="T176" t="s">
        <v>49</v>
      </c>
      <c r="X176" t="s">
        <v>49</v>
      </c>
      <c r="Z176" t="s">
        <v>49</v>
      </c>
      <c r="AC176" t="s">
        <v>49</v>
      </c>
      <c r="AD176" t="s">
        <v>49</v>
      </c>
      <c r="AN176" s="56"/>
    </row>
    <row r="177" spans="1:40" ht="32" x14ac:dyDescent="0.2">
      <c r="A177" s="76" t="s">
        <v>622</v>
      </c>
      <c r="B177" s="51" t="s">
        <v>623</v>
      </c>
      <c r="C177" t="s">
        <v>624</v>
      </c>
      <c r="E177" t="s">
        <v>49</v>
      </c>
      <c r="F177" s="53" t="str">
        <f>IF(AND(ISTEXT("https://github.com/InPlusLab/FSE24-SmartAxe"),"https://github.com/InPlusLab/FSE24-SmartAxe"&lt;&gt;""), HYPERLINK("https://github.com/InPlusLab/FSE24-SmartAxe", "Link"),"-")</f>
        <v>Link</v>
      </c>
      <c r="G177" s="63">
        <v>2024</v>
      </c>
      <c r="H177" s="61">
        <v>2024</v>
      </c>
      <c r="I177" s="61">
        <v>2024</v>
      </c>
      <c r="K177" t="s">
        <v>49</v>
      </c>
      <c r="M177" t="s">
        <v>49</v>
      </c>
      <c r="T177" t="s">
        <v>49</v>
      </c>
      <c r="V177" t="s">
        <v>49</v>
      </c>
      <c r="W177" t="s">
        <v>49</v>
      </c>
      <c r="AN177" s="56"/>
    </row>
    <row r="178" spans="1:40" ht="32" x14ac:dyDescent="0.2">
      <c r="A178" s="76" t="s">
        <v>625</v>
      </c>
      <c r="B178" s="51" t="s">
        <v>626</v>
      </c>
      <c r="C178" t="s">
        <v>627</v>
      </c>
      <c r="E178" t="s">
        <v>49</v>
      </c>
      <c r="F178" s="53" t="str">
        <f>IF(AND(ISTEXT("https://github.com/Z-Zhijie/PrettySmart"),"https://github.com/Z-Zhijie/PrettySmart"&lt;&gt;""), HYPERLINK("https://github.com/Z-Zhijie/PrettySmart", "Link"),"-")</f>
        <v>Link</v>
      </c>
      <c r="G178" s="63">
        <v>2024</v>
      </c>
      <c r="H178" s="61">
        <v>2024</v>
      </c>
      <c r="I178" s="61">
        <v>2024</v>
      </c>
      <c r="J178" t="s">
        <v>51</v>
      </c>
      <c r="K178" t="s">
        <v>49</v>
      </c>
      <c r="M178" t="s">
        <v>49</v>
      </c>
      <c r="T178" t="s">
        <v>49</v>
      </c>
      <c r="V178" t="s">
        <v>49</v>
      </c>
      <c r="Y178" t="s">
        <v>49</v>
      </c>
      <c r="Z178" t="s">
        <v>49</v>
      </c>
      <c r="AN178" s="56" t="s">
        <v>49</v>
      </c>
    </row>
    <row r="179" spans="1:40" ht="48" x14ac:dyDescent="0.2">
      <c r="A179" s="76" t="s">
        <v>628</v>
      </c>
      <c r="B179" s="51" t="s">
        <v>629</v>
      </c>
      <c r="C179" s="64" t="s">
        <v>630</v>
      </c>
      <c r="E179" t="s">
        <v>49</v>
      </c>
      <c r="F179" s="53" t="str">
        <f>IF(AND(ISTEXT("https://github.com/SliSE-SC/SliSE"),"https://github.com/SliSE-SC/SliSE"&lt;&gt;""), HYPERLINK("https://github.com/SliSE-SC/SliSE", "Link"),"-")</f>
        <v>Link</v>
      </c>
      <c r="G179" s="63">
        <v>2024</v>
      </c>
      <c r="H179" s="61">
        <v>2024</v>
      </c>
      <c r="I179" s="61">
        <v>2024</v>
      </c>
      <c r="J179" t="s">
        <v>51</v>
      </c>
      <c r="L179" t="s">
        <v>49</v>
      </c>
      <c r="M179" t="s">
        <v>49</v>
      </c>
      <c r="T179" t="s">
        <v>49</v>
      </c>
      <c r="V179" t="s">
        <v>49</v>
      </c>
      <c r="W179" t="s">
        <v>49</v>
      </c>
      <c r="X179" t="s">
        <v>49</v>
      </c>
      <c r="AC179" t="s">
        <v>49</v>
      </c>
      <c r="AD179" t="s">
        <v>49</v>
      </c>
      <c r="AN179" s="56"/>
    </row>
    <row r="180" spans="1:40" ht="64" x14ac:dyDescent="0.2">
      <c r="A180" s="76" t="s">
        <v>631</v>
      </c>
      <c r="B180" s="51" t="s">
        <v>632</v>
      </c>
      <c r="C180" t="s">
        <v>633</v>
      </c>
      <c r="E180" t="s">
        <v>49</v>
      </c>
      <c r="F180" s="53" t="str">
        <f>IF(AND(ISTEXT("https://github.com/agroce/echidna-parade"),"https://github.com/agroce/echidna-parade"&lt;&gt;""), HYPERLINK("https://github.com/agroce/echidna-parade", "Link"),"-")</f>
        <v>Link</v>
      </c>
      <c r="G180" s="63">
        <v>2021</v>
      </c>
      <c r="H180" s="61">
        <v>2021</v>
      </c>
      <c r="I180" s="61">
        <v>2021</v>
      </c>
      <c r="J180" t="s">
        <v>51</v>
      </c>
      <c r="L180" t="s">
        <v>49</v>
      </c>
      <c r="N180" t="s">
        <v>49</v>
      </c>
      <c r="S180" t="s">
        <v>49</v>
      </c>
      <c r="U180" t="s">
        <v>49</v>
      </c>
      <c r="W180" t="s">
        <v>49</v>
      </c>
      <c r="AG180" t="s">
        <v>49</v>
      </c>
      <c r="AN180" s="56"/>
    </row>
    <row r="181" spans="1:40" ht="32" x14ac:dyDescent="0.2">
      <c r="A181" s="76" t="s">
        <v>634</v>
      </c>
      <c r="B181" s="51" t="s">
        <v>635</v>
      </c>
      <c r="C181" t="s">
        <v>636</v>
      </c>
      <c r="F181" s="53" t="str">
        <f>IF(AND(ISTEXT(""),""&lt;&gt;""), HYPERLINK("", "Link"),"-")</f>
        <v>-</v>
      </c>
      <c r="G181" s="63">
        <v>2021</v>
      </c>
      <c r="K181" t="s">
        <v>49</v>
      </c>
      <c r="S181" t="s">
        <v>49</v>
      </c>
      <c r="U181" t="s">
        <v>49</v>
      </c>
      <c r="AN181" s="56" t="s">
        <v>49</v>
      </c>
    </row>
    <row r="182" spans="1:40" ht="64" x14ac:dyDescent="0.2">
      <c r="A182" s="76" t="s">
        <v>637</v>
      </c>
      <c r="B182" s="51" t="s">
        <v>638</v>
      </c>
      <c r="C182" t="s">
        <v>639</v>
      </c>
      <c r="E182" t="s">
        <v>49</v>
      </c>
      <c r="F182" s="53" t="str">
        <f>IF(AND(ISTEXT("https://researchdata.ntu.edu.sg/dataset.xhtml?persistentId=doi:10.21979/N9/MBHBCI"),"https://researchdata.ntu.edu.sg/dataset.xhtml?persistentId=doi:10.21979/N9/MBHBCI"&lt;&gt;""), HYPERLINK("https://researchdata.ntu.edu.sg/dataset.xhtml?persistentId=doi:10.21979/N9/MBHBCI", "Link"),"-")</f>
        <v>Link</v>
      </c>
      <c r="G182" s="63">
        <v>2022</v>
      </c>
      <c r="H182" s="61">
        <v>2022</v>
      </c>
      <c r="I182" s="61">
        <v>2022</v>
      </c>
      <c r="J182" t="s">
        <v>51</v>
      </c>
      <c r="L182" t="s">
        <v>49</v>
      </c>
      <c r="M182" t="s">
        <v>49</v>
      </c>
      <c r="S182" t="s">
        <v>49</v>
      </c>
      <c r="T182" t="s">
        <v>49</v>
      </c>
      <c r="W182" t="s">
        <v>49</v>
      </c>
      <c r="AN182" s="56"/>
    </row>
    <row r="183" spans="1:40" ht="48" x14ac:dyDescent="0.2">
      <c r="A183" s="76" t="s">
        <v>640</v>
      </c>
      <c r="B183" s="51" t="s">
        <v>641</v>
      </c>
      <c r="C183" t="s">
        <v>642</v>
      </c>
      <c r="F183" s="53" t="str">
        <f>IF(AND(ISTEXT(""),""&lt;&gt;""), HYPERLINK("", "Link"),"-")</f>
        <v>-</v>
      </c>
      <c r="G183" s="63">
        <v>2021</v>
      </c>
      <c r="H183" s="61">
        <v>2021</v>
      </c>
      <c r="I183" s="61">
        <v>2021</v>
      </c>
      <c r="K183" t="s">
        <v>49</v>
      </c>
      <c r="N183" t="s">
        <v>49</v>
      </c>
      <c r="S183" t="s">
        <v>49</v>
      </c>
      <c r="T183" t="s">
        <v>49</v>
      </c>
      <c r="AA183" t="s">
        <v>49</v>
      </c>
      <c r="AC183" t="s">
        <v>49</v>
      </c>
      <c r="AN183" s="56"/>
    </row>
    <row r="184" spans="1:40" ht="64" x14ac:dyDescent="0.2">
      <c r="A184" s="76" t="s">
        <v>643</v>
      </c>
      <c r="B184" s="51" t="s">
        <v>644</v>
      </c>
      <c r="C184" s="64" t="s">
        <v>645</v>
      </c>
      <c r="F184" s="53" t="str">
        <f>IF(AND(ISTEXT(""),""&lt;&gt;""), HYPERLINK("", "Link"),"-")</f>
        <v>-</v>
      </c>
      <c r="G184" s="63">
        <v>2021</v>
      </c>
      <c r="H184" s="61">
        <v>2021</v>
      </c>
      <c r="I184" s="61">
        <v>2021</v>
      </c>
      <c r="L184" t="s">
        <v>646</v>
      </c>
      <c r="O184" t="s">
        <v>49</v>
      </c>
      <c r="U184" t="s">
        <v>49</v>
      </c>
      <c r="W184" t="s">
        <v>49</v>
      </c>
      <c r="AK184" t="s">
        <v>49</v>
      </c>
      <c r="AN184" s="56"/>
    </row>
    <row r="185" spans="1:40" ht="128" x14ac:dyDescent="0.2">
      <c r="A185" s="76" t="s">
        <v>647</v>
      </c>
      <c r="B185" s="51" t="s">
        <v>648</v>
      </c>
      <c r="C185" t="s">
        <v>649</v>
      </c>
      <c r="E185" t="s">
        <v>49</v>
      </c>
      <c r="F185" s="53" t="str">
        <f>IF(AND(ISTEXT("https://drive.google.com/file/d/1kauLT3y2IiHPkUlVx4FSTda-dVAyL4za/view?usp=sharing"),"https://drive.google.com/file/d/1kauLT3y2IiHPkUlVx4FSTda-dVAyL4za/view?usp=sharing"&lt;&gt;""), HYPERLINK("https://drive.google.com/file/d/1kauLT3y2IiHPkUlVx4FSTda-dVAyL4za/view?usp=sharing", "Link"),"-")</f>
        <v>Link</v>
      </c>
      <c r="G185" s="63">
        <v>2021</v>
      </c>
      <c r="H185" s="61">
        <v>2021</v>
      </c>
      <c r="I185" s="61">
        <v>2021</v>
      </c>
      <c r="L185" t="s">
        <v>49</v>
      </c>
      <c r="M185" t="s">
        <v>49</v>
      </c>
      <c r="T185" t="s">
        <v>49</v>
      </c>
      <c r="X185" t="s">
        <v>49</v>
      </c>
      <c r="AL185" t="s">
        <v>49</v>
      </c>
      <c r="AN185" s="56"/>
    </row>
    <row r="186" spans="1:40" ht="32" x14ac:dyDescent="0.2">
      <c r="A186" s="76" t="s">
        <v>650</v>
      </c>
      <c r="B186" s="51" t="s">
        <v>651</v>
      </c>
      <c r="C186" s="66" t="s">
        <v>652</v>
      </c>
      <c r="E186" t="s">
        <v>49</v>
      </c>
      <c r="F186" s="53" t="str">
        <f>IF(AND(ISTEXT("https://github.com/hitew/ContractCheck"),"https://github.com/hitew/ContractCheck"&lt;&gt;""), HYPERLINK("https://github.com/hitew/ContractCheck", "Link"),"-")</f>
        <v>Link</v>
      </c>
      <c r="G186" s="63">
        <v>2024</v>
      </c>
      <c r="H186" s="61">
        <v>2024</v>
      </c>
      <c r="I186" s="61">
        <v>2024</v>
      </c>
      <c r="L186" t="s">
        <v>49</v>
      </c>
      <c r="M186" t="s">
        <v>49</v>
      </c>
      <c r="T186" t="s">
        <v>49</v>
      </c>
      <c r="X186" t="s">
        <v>49</v>
      </c>
      <c r="AD186" t="s">
        <v>49</v>
      </c>
      <c r="AM186" t="s">
        <v>49</v>
      </c>
      <c r="AN186" s="56"/>
    </row>
    <row r="187" spans="1:40" ht="48" x14ac:dyDescent="0.2">
      <c r="A187" s="76" t="s">
        <v>653</v>
      </c>
      <c r="B187" s="51" t="s">
        <v>654</v>
      </c>
      <c r="C187" s="64" t="s">
        <v>655</v>
      </c>
      <c r="E187" t="s">
        <v>49</v>
      </c>
      <c r="F187" s="53" t="str">
        <f>IF(AND(ISTEXT("https://github.com/Our4514444/SCAnoGenerator"),"https://github.com/Our4514444/SCAnoGenerator"&lt;&gt;""), HYPERLINK("https://github.com/Our4514444/SCAnoGenerator", "Link"),"-")</f>
        <v>Link</v>
      </c>
      <c r="G187" s="63">
        <v>2024</v>
      </c>
      <c r="H187" s="61">
        <v>2024</v>
      </c>
      <c r="I187" s="61">
        <v>2024</v>
      </c>
      <c r="J187" t="s">
        <v>51</v>
      </c>
      <c r="L187" t="s">
        <v>49</v>
      </c>
      <c r="S187" t="s">
        <v>49</v>
      </c>
      <c r="T187" t="s">
        <v>49</v>
      </c>
      <c r="V187" t="s">
        <v>49</v>
      </c>
      <c r="W187" t="s">
        <v>49</v>
      </c>
      <c r="AN187" s="56"/>
    </row>
    <row r="188" spans="1:40" ht="64" x14ac:dyDescent="0.2">
      <c r="A188" s="76" t="s">
        <v>656</v>
      </c>
      <c r="B188" s="51" t="s">
        <v>657</v>
      </c>
      <c r="C188" s="66" t="s">
        <v>658</v>
      </c>
      <c r="E188" t="s">
        <v>49</v>
      </c>
      <c r="F188" s="53" t="str">
        <f>IF(AND(ISTEXT("https://github.com/tczpl/lent-sse/"),"https://github.com/tczpl/lent-sse/"&lt;&gt;""), HYPERLINK("https://github.com/tczpl/lent-sse/", "Link"),"-")</f>
        <v>Link</v>
      </c>
      <c r="G188" s="63">
        <v>2024</v>
      </c>
      <c r="H188" s="61">
        <v>2024</v>
      </c>
      <c r="I188" s="61">
        <v>2024</v>
      </c>
      <c r="J188" t="s">
        <v>51</v>
      </c>
      <c r="L188" t="s">
        <v>49</v>
      </c>
      <c r="T188" t="s">
        <v>49</v>
      </c>
      <c r="W188" t="s">
        <v>49</v>
      </c>
      <c r="AC188" t="s">
        <v>49</v>
      </c>
      <c r="AD188" t="s">
        <v>49</v>
      </c>
      <c r="AN188" s="56"/>
    </row>
    <row r="189" spans="1:40" ht="32" x14ac:dyDescent="0.2">
      <c r="A189" s="76" t="s">
        <v>659</v>
      </c>
      <c r="B189" s="51" t="s">
        <v>660</v>
      </c>
      <c r="C189" s="66" t="s">
        <v>661</v>
      </c>
      <c r="F189" s="53" t="str">
        <f>IF(AND(ISTEXT(""),""&lt;&gt;""), HYPERLINK("", "Link"),"-")</f>
        <v>-</v>
      </c>
      <c r="G189" s="63">
        <v>2024</v>
      </c>
      <c r="H189" s="61"/>
      <c r="I189" s="61"/>
      <c r="K189" t="s">
        <v>49</v>
      </c>
      <c r="M189" t="s">
        <v>49</v>
      </c>
      <c r="T189" t="s">
        <v>49</v>
      </c>
      <c r="U189" t="s">
        <v>49</v>
      </c>
      <c r="V189" t="s">
        <v>49</v>
      </c>
      <c r="AG189" t="s">
        <v>49</v>
      </c>
      <c r="AN189" s="56"/>
    </row>
    <row r="190" spans="1:40" ht="48" x14ac:dyDescent="0.2">
      <c r="A190" s="79" t="s">
        <v>475</v>
      </c>
      <c r="B190" s="51" t="s">
        <v>662</v>
      </c>
      <c r="C190" s="64" t="s">
        <v>663</v>
      </c>
      <c r="F190" s="53" t="str">
        <f>IF(AND(ISTEXT(""),""&lt;&gt;""), HYPERLINK("", "Link"),"-")</f>
        <v>-</v>
      </c>
      <c r="G190" s="63">
        <v>2024</v>
      </c>
      <c r="H190" s="61"/>
      <c r="I190" s="61"/>
      <c r="K190" t="s">
        <v>49</v>
      </c>
      <c r="M190" t="s">
        <v>49</v>
      </c>
      <c r="T190" t="s">
        <v>49</v>
      </c>
      <c r="V190" t="s">
        <v>49</v>
      </c>
      <c r="AA190" t="s">
        <v>49</v>
      </c>
      <c r="AM190" t="s">
        <v>49</v>
      </c>
      <c r="AN190" s="56"/>
    </row>
    <row r="191" spans="1:40" ht="64" x14ac:dyDescent="0.2">
      <c r="A191" s="76" t="s">
        <v>664</v>
      </c>
      <c r="B191" s="51" t="s">
        <v>665</v>
      </c>
      <c r="C191" t="s">
        <v>666</v>
      </c>
      <c r="F191" s="53" t="str">
        <f>IF(AND(ISTEXT(""),""&lt;&gt;""), HYPERLINK("", "Link"),"-")</f>
        <v>-</v>
      </c>
      <c r="G191" s="63">
        <v>2024</v>
      </c>
      <c r="H191" s="61"/>
      <c r="I191" s="61"/>
      <c r="L191" t="s">
        <v>49</v>
      </c>
      <c r="M191" t="s">
        <v>49</v>
      </c>
      <c r="R191" t="s">
        <v>667</v>
      </c>
      <c r="T191" t="s">
        <v>49</v>
      </c>
      <c r="X191" t="s">
        <v>49</v>
      </c>
      <c r="AK191" t="s">
        <v>49</v>
      </c>
      <c r="AM191" t="s">
        <v>49</v>
      </c>
      <c r="AN191" s="56"/>
    </row>
    <row r="192" spans="1:40" ht="32" x14ac:dyDescent="0.2">
      <c r="A192" s="76" t="s">
        <v>668</v>
      </c>
      <c r="B192" s="51" t="s">
        <v>669</v>
      </c>
      <c r="C192" t="s">
        <v>670</v>
      </c>
      <c r="F192" s="53" t="str">
        <f>IF(AND(ISTEXT(""),""&lt;&gt;""), HYPERLINK("", "Link"),"-")</f>
        <v>-</v>
      </c>
      <c r="G192" s="63">
        <v>2024</v>
      </c>
      <c r="H192" s="61"/>
      <c r="I192" s="61"/>
      <c r="L192" t="s">
        <v>49</v>
      </c>
      <c r="M192" t="s">
        <v>49</v>
      </c>
      <c r="T192" t="s">
        <v>49</v>
      </c>
      <c r="U192" t="s">
        <v>49</v>
      </c>
      <c r="V192" t="s">
        <v>49</v>
      </c>
      <c r="W192" t="s">
        <v>49</v>
      </c>
      <c r="X192" t="s">
        <v>49</v>
      </c>
      <c r="AG192" t="s">
        <v>49</v>
      </c>
      <c r="AN192" s="56"/>
    </row>
    <row r="193" spans="1:40" ht="48" x14ac:dyDescent="0.2">
      <c r="A193" s="76" t="s">
        <v>671</v>
      </c>
      <c r="B193" s="51" t="s">
        <v>672</v>
      </c>
      <c r="C193" t="s">
        <v>673</v>
      </c>
      <c r="F193" s="53" t="str">
        <f>IF(AND(ISTEXT(""),""&lt;&gt;""), HYPERLINK("", "Link"),"-")</f>
        <v>-</v>
      </c>
      <c r="G193" s="63">
        <v>2024</v>
      </c>
      <c r="H193" s="61"/>
      <c r="I193" s="61"/>
      <c r="K193" t="s">
        <v>49</v>
      </c>
      <c r="L193" t="s">
        <v>49</v>
      </c>
      <c r="M193" t="s">
        <v>49</v>
      </c>
      <c r="T193" t="s">
        <v>49</v>
      </c>
      <c r="X193" t="s">
        <v>49</v>
      </c>
      <c r="Z193" t="s">
        <v>674</v>
      </c>
      <c r="AN193" s="56"/>
    </row>
    <row r="194" spans="1:40" ht="48" x14ac:dyDescent="0.2">
      <c r="A194" s="76" t="s">
        <v>675</v>
      </c>
      <c r="B194" s="51" t="s">
        <v>676</v>
      </c>
      <c r="C194" t="s">
        <v>677</v>
      </c>
      <c r="E194" t="s">
        <v>49</v>
      </c>
      <c r="F194" s="53" t="str">
        <f>IF(AND(ISTEXT("https://github.com/helloswx/EVM-Shield"),"https://github.com/helloswx/EVM-Shield"&lt;&gt;""), HYPERLINK("https://github.com/helloswx/EVM-Shield", "Link"),"-")</f>
        <v>Link</v>
      </c>
      <c r="G194" s="63">
        <v>2023</v>
      </c>
      <c r="H194" s="61">
        <v>2023</v>
      </c>
      <c r="I194" s="61">
        <v>2023</v>
      </c>
      <c r="L194" t="s">
        <v>49</v>
      </c>
      <c r="M194" t="s">
        <v>49</v>
      </c>
      <c r="T194" t="s">
        <v>49</v>
      </c>
      <c r="U194" t="s">
        <v>49</v>
      </c>
      <c r="W194" t="s">
        <v>49</v>
      </c>
      <c r="X194" t="s">
        <v>49</v>
      </c>
      <c r="AH194" t="s">
        <v>49</v>
      </c>
      <c r="AN194" s="56"/>
    </row>
    <row r="195" spans="1:40" ht="64" x14ac:dyDescent="0.2">
      <c r="A195" s="76" t="s">
        <v>678</v>
      </c>
      <c r="B195" s="51" t="s">
        <v>679</v>
      </c>
      <c r="C195" t="s">
        <v>680</v>
      </c>
      <c r="E195" t="s">
        <v>49</v>
      </c>
      <c r="F195" s="53" t="str">
        <f>IF(AND(ISTEXT("https://github.com/dslmllab/LLMSmartSec"),"https://github.com/dslmllab/LLMSmartSec"&lt;&gt;""), HYPERLINK("https://github.com/dslmllab/LLMSmartSec", "Link"),"-")</f>
        <v>Link</v>
      </c>
      <c r="G195" s="63">
        <v>2024</v>
      </c>
      <c r="H195" s="61">
        <v>2024</v>
      </c>
      <c r="I195" s="61">
        <v>2024</v>
      </c>
      <c r="J195" t="s">
        <v>51</v>
      </c>
      <c r="L195" t="s">
        <v>49</v>
      </c>
      <c r="M195" t="s">
        <v>49</v>
      </c>
      <c r="R195" t="s">
        <v>667</v>
      </c>
      <c r="T195" t="s">
        <v>49</v>
      </c>
      <c r="V195" t="s">
        <v>49</v>
      </c>
      <c r="AN195" s="56"/>
    </row>
    <row r="196" spans="1:40" ht="64" x14ac:dyDescent="0.2">
      <c r="A196" s="76" t="s">
        <v>681</v>
      </c>
      <c r="B196" s="51" t="s">
        <v>682</v>
      </c>
      <c r="C196" t="s">
        <v>683</v>
      </c>
      <c r="E196" t="s">
        <v>49</v>
      </c>
      <c r="F196" s="53" t="str">
        <f>IF(AND(ISTEXT("https://github.com/author1/ContractArmor"),"https://github.com/author1/ContractArmor"&lt;&gt;""), HYPERLINK("https://github.com/author1/ContractArmor", "Link"),"-")</f>
        <v>Link</v>
      </c>
      <c r="G196" s="63">
        <v>2024</v>
      </c>
      <c r="H196" s="61">
        <v>2024</v>
      </c>
      <c r="I196" s="61">
        <v>2024</v>
      </c>
      <c r="L196" t="s">
        <v>49</v>
      </c>
      <c r="N196" t="s">
        <v>49</v>
      </c>
      <c r="T196" t="s">
        <v>49</v>
      </c>
      <c r="AN196" s="56"/>
    </row>
    <row r="197" spans="1:40" ht="32" x14ac:dyDescent="0.2">
      <c r="A197" s="76" t="s">
        <v>684</v>
      </c>
      <c r="B197" s="51" t="s">
        <v>685</v>
      </c>
      <c r="C197" t="s">
        <v>686</v>
      </c>
      <c r="F197" s="53" t="str">
        <f>IF(AND(ISTEXT(""),""&lt;&gt;""), HYPERLINK("", "Link"),"-")</f>
        <v>-</v>
      </c>
      <c r="G197" s="63">
        <v>2024</v>
      </c>
      <c r="H197" s="61"/>
      <c r="I197" s="61"/>
      <c r="K197" t="s">
        <v>49</v>
      </c>
      <c r="M197" t="s">
        <v>49</v>
      </c>
      <c r="T197" t="s">
        <v>49</v>
      </c>
      <c r="V197" t="s">
        <v>49</v>
      </c>
      <c r="Y197" t="s">
        <v>49</v>
      </c>
      <c r="Z197" t="s">
        <v>49</v>
      </c>
      <c r="AA197" t="s">
        <v>49</v>
      </c>
      <c r="AK197" t="s">
        <v>49</v>
      </c>
      <c r="AN197" s="56"/>
    </row>
    <row r="198" spans="1:40" ht="48" x14ac:dyDescent="0.2">
      <c r="A198" s="76" t="s">
        <v>687</v>
      </c>
      <c r="B198" s="51" t="s">
        <v>688</v>
      </c>
      <c r="C198" t="s">
        <v>689</v>
      </c>
      <c r="E198" t="s">
        <v>49</v>
      </c>
      <c r="F198" s="53" t="str">
        <f>IF(AND(ISTEXT("https://github.com/GRY-Code/MM4ID"),"https://github.com/GRY-Code/MM4ID"&lt;&gt;""), HYPERLINK("https://github.com/GRY-Code/MM4ID", "Link"),"-")</f>
        <v>Link</v>
      </c>
      <c r="G198" s="63">
        <v>2024</v>
      </c>
      <c r="H198" s="61">
        <v>2024</v>
      </c>
      <c r="I198" s="61">
        <v>2024</v>
      </c>
      <c r="L198" t="s">
        <v>49</v>
      </c>
      <c r="T198" t="s">
        <v>49</v>
      </c>
      <c r="AM198" t="s">
        <v>49</v>
      </c>
      <c r="AN198" s="56"/>
    </row>
    <row r="199" spans="1:40" ht="144" x14ac:dyDescent="0.2">
      <c r="A199" s="76" t="s">
        <v>690</v>
      </c>
      <c r="B199" s="51" t="s">
        <v>691</v>
      </c>
      <c r="C199" t="s">
        <v>692</v>
      </c>
      <c r="F199" s="53" t="str">
        <f>IF(AND(ISTEXT(""),""&lt;&gt;""), HYPERLINK("", "Link"),"-")</f>
        <v>-</v>
      </c>
      <c r="G199" s="63">
        <v>2024</v>
      </c>
      <c r="H199" s="61"/>
      <c r="I199" s="61"/>
      <c r="L199" t="s">
        <v>49</v>
      </c>
      <c r="M199" t="s">
        <v>49</v>
      </c>
      <c r="T199" t="s">
        <v>49</v>
      </c>
      <c r="V199" t="s">
        <v>49</v>
      </c>
      <c r="AD199" t="s">
        <v>49</v>
      </c>
      <c r="AN199" s="56"/>
    </row>
    <row r="200" spans="1:40" ht="144" x14ac:dyDescent="0.2">
      <c r="A200" s="79" t="s">
        <v>693</v>
      </c>
      <c r="B200" s="51" t="s">
        <v>694</v>
      </c>
      <c r="C200" s="64" t="s">
        <v>695</v>
      </c>
      <c r="F200" s="53" t="str">
        <f>IF(AND(ISTEXT(""),""&lt;&gt;""), HYPERLINK("", "Link"),"-")</f>
        <v>-</v>
      </c>
      <c r="G200" s="63">
        <v>2024</v>
      </c>
      <c r="H200" s="61"/>
      <c r="I200" s="61"/>
      <c r="L200" t="s">
        <v>49</v>
      </c>
      <c r="M200" t="s">
        <v>49</v>
      </c>
      <c r="U200" t="s">
        <v>49</v>
      </c>
      <c r="V200" t="s">
        <v>49</v>
      </c>
      <c r="AG200" t="s">
        <v>49</v>
      </c>
      <c r="AN200" s="56"/>
    </row>
    <row r="201" spans="1:40" ht="64" x14ac:dyDescent="0.2">
      <c r="A201" s="76" t="s">
        <v>696</v>
      </c>
      <c r="B201" s="51" t="s">
        <v>697</v>
      </c>
      <c r="C201" s="64" t="s">
        <v>698</v>
      </c>
      <c r="F201" s="53" t="str">
        <f>IF(AND(ISTEXT(""),""&lt;&gt;""), HYPERLINK("", "Link"),"-")</f>
        <v>-</v>
      </c>
      <c r="G201" s="63">
        <v>2024</v>
      </c>
      <c r="H201" s="61"/>
      <c r="I201" s="61"/>
      <c r="L201" t="s">
        <v>49</v>
      </c>
      <c r="S201" t="s">
        <v>49</v>
      </c>
      <c r="U201" t="s">
        <v>49</v>
      </c>
      <c r="W201" t="s">
        <v>49</v>
      </c>
      <c r="X201" t="s">
        <v>49</v>
      </c>
      <c r="AC201" t="s">
        <v>49</v>
      </c>
      <c r="AN201" s="56"/>
    </row>
    <row r="202" spans="1:40" ht="96" x14ac:dyDescent="0.2">
      <c r="A202" s="76" t="s">
        <v>699</v>
      </c>
      <c r="B202" s="51" t="s">
        <v>700</v>
      </c>
      <c r="C202" t="s">
        <v>701</v>
      </c>
      <c r="F202" s="53" t="str">
        <f>IF(AND(ISTEXT(""),""&lt;&gt;""), HYPERLINK("", "Link"),"-")</f>
        <v>-</v>
      </c>
      <c r="G202" s="63">
        <v>2024</v>
      </c>
      <c r="H202" s="61"/>
      <c r="I202" s="61"/>
      <c r="L202" t="s">
        <v>49</v>
      </c>
      <c r="M202" t="s">
        <v>49</v>
      </c>
      <c r="T202" t="s">
        <v>49</v>
      </c>
      <c r="V202" t="s">
        <v>49</v>
      </c>
      <c r="W202" t="s">
        <v>49</v>
      </c>
      <c r="AM202" t="s">
        <v>49</v>
      </c>
      <c r="AN202" s="56"/>
    </row>
    <row r="203" spans="1:40" ht="32" x14ac:dyDescent="0.2">
      <c r="A203" s="76" t="s">
        <v>702</v>
      </c>
      <c r="B203" s="51" t="s">
        <v>703</v>
      </c>
      <c r="C203" s="64" t="s">
        <v>704</v>
      </c>
      <c r="E203" t="s">
        <v>49</v>
      </c>
      <c r="F203" s="53" t="str">
        <f>IF(AND(ISTEXT("https://github.com/Messi-Q/MuFuzz"),"https://github.com/Messi-Q/MuFuzz"&lt;&gt;""), HYPERLINK("https://github.com/Messi-Q/MuFuzz", "Link"),"-")</f>
        <v>Link</v>
      </c>
      <c r="G203" s="63">
        <v>2024</v>
      </c>
      <c r="H203" s="61">
        <v>2024</v>
      </c>
      <c r="I203" s="61">
        <v>2024</v>
      </c>
      <c r="J203" t="s">
        <v>116</v>
      </c>
      <c r="L203" t="s">
        <v>49</v>
      </c>
      <c r="M203" t="s">
        <v>49</v>
      </c>
      <c r="U203" t="s">
        <v>49</v>
      </c>
      <c r="W203" t="s">
        <v>49</v>
      </c>
      <c r="X203" t="s">
        <v>49</v>
      </c>
      <c r="Y203" t="s">
        <v>49</v>
      </c>
      <c r="AA203" t="s">
        <v>49</v>
      </c>
      <c r="AG203" t="s">
        <v>49</v>
      </c>
      <c r="AJ203" t="s">
        <v>49</v>
      </c>
      <c r="AN203" s="56"/>
    </row>
    <row r="204" spans="1:40" ht="32" x14ac:dyDescent="0.2">
      <c r="A204" s="76" t="s">
        <v>705</v>
      </c>
      <c r="B204" s="51" t="s">
        <v>706</v>
      </c>
      <c r="C204" s="64" t="s">
        <v>707</v>
      </c>
      <c r="E204" t="s">
        <v>49</v>
      </c>
      <c r="F204" s="53" t="str">
        <f>IF(AND(ISTEXT("https://github.com/giacomofi/Smart-Contracts-Bipartite-Graph-Generator"),"https://github.com/giacomofi/Smart-Contracts-Bipartite-Graph-Generator"&lt;&gt;""), HYPERLINK("https://github.com/giacomofi/Smart-Contracts-Bipartite-Graph-Generator", "Link"),"-")</f>
        <v>Link</v>
      </c>
      <c r="G204" s="63">
        <v>2024</v>
      </c>
      <c r="H204" s="61">
        <v>2024</v>
      </c>
      <c r="I204" s="61">
        <v>2024</v>
      </c>
      <c r="J204" t="s">
        <v>51</v>
      </c>
      <c r="L204" t="s">
        <v>49</v>
      </c>
      <c r="S204" t="s">
        <v>49</v>
      </c>
      <c r="T204" t="s">
        <v>49</v>
      </c>
      <c r="V204" t="s">
        <v>49</v>
      </c>
      <c r="X204" t="s">
        <v>49</v>
      </c>
      <c r="Z204" t="s">
        <v>49</v>
      </c>
      <c r="AN204" s="56"/>
    </row>
    <row r="205" spans="1:40" ht="48" x14ac:dyDescent="0.2">
      <c r="A205" s="76" t="s">
        <v>708</v>
      </c>
      <c r="B205" s="51" t="s">
        <v>709</v>
      </c>
      <c r="C205" s="64" t="s">
        <v>710</v>
      </c>
      <c r="F205" s="53" t="str">
        <f>IF(AND(ISTEXT(""),""&lt;&gt;""), HYPERLINK("", "Link"),"-")</f>
        <v>-</v>
      </c>
      <c r="G205" s="63">
        <v>2024</v>
      </c>
      <c r="L205" t="s">
        <v>49</v>
      </c>
      <c r="M205" t="s">
        <v>49</v>
      </c>
      <c r="U205" t="s">
        <v>49</v>
      </c>
      <c r="AD205" t="s">
        <v>49</v>
      </c>
      <c r="AE205" t="s">
        <v>49</v>
      </c>
      <c r="AI205" t="s">
        <v>49</v>
      </c>
      <c r="AN205" s="56"/>
    </row>
    <row r="206" spans="1:40" ht="48" x14ac:dyDescent="0.2">
      <c r="A206" s="76" t="s">
        <v>711</v>
      </c>
      <c r="B206" s="51" t="s">
        <v>712</v>
      </c>
      <c r="C206" t="s">
        <v>713</v>
      </c>
      <c r="E206" t="s">
        <v>49</v>
      </c>
      <c r="F206" s="53" t="str">
        <f>IF(AND(ISTEXT("https://github.com/columbia/SmartInv"),"https://github.com/columbia/SmartInv"&lt;&gt;""), HYPERLINK("https://github.com/columbia/SmartInv", "Link"),"-")</f>
        <v>Link</v>
      </c>
      <c r="G206" s="63">
        <v>2024</v>
      </c>
      <c r="H206" s="61">
        <v>2024</v>
      </c>
      <c r="I206" s="61">
        <v>2024</v>
      </c>
      <c r="L206" t="s">
        <v>49</v>
      </c>
      <c r="M206" t="s">
        <v>49</v>
      </c>
      <c r="N206" t="s">
        <v>49</v>
      </c>
      <c r="T206" t="s">
        <v>49</v>
      </c>
      <c r="AE206" t="s">
        <v>49</v>
      </c>
      <c r="AM206" t="s">
        <v>49</v>
      </c>
      <c r="AN206" s="56"/>
    </row>
    <row r="207" spans="1:40" ht="32" x14ac:dyDescent="0.2">
      <c r="A207" s="76" t="s">
        <v>714</v>
      </c>
      <c r="B207" s="51" t="s">
        <v>715</v>
      </c>
      <c r="C207" s="64" t="s">
        <v>716</v>
      </c>
      <c r="F207" s="53" t="str">
        <f t="shared" ref="F207:F214" si="11">IF(AND(ISTEXT(""),""&lt;&gt;""), HYPERLINK("", "Link"),"-")</f>
        <v>-</v>
      </c>
      <c r="G207" s="63">
        <v>2024</v>
      </c>
      <c r="H207" s="61"/>
      <c r="I207" s="61"/>
      <c r="L207" t="s">
        <v>49</v>
      </c>
      <c r="M207" t="s">
        <v>49</v>
      </c>
      <c r="N207" t="s">
        <v>49</v>
      </c>
      <c r="Q207" t="s">
        <v>49</v>
      </c>
      <c r="U207" t="s">
        <v>49</v>
      </c>
      <c r="AN207" s="56"/>
    </row>
    <row r="208" spans="1:40" ht="48" x14ac:dyDescent="0.2">
      <c r="A208" s="76" t="s">
        <v>717</v>
      </c>
      <c r="B208" s="51" t="s">
        <v>718</v>
      </c>
      <c r="C208" s="64" t="s">
        <v>719</v>
      </c>
      <c r="F208" s="53" t="str">
        <f t="shared" si="11"/>
        <v>-</v>
      </c>
      <c r="G208" s="63">
        <v>2024</v>
      </c>
      <c r="H208" s="61"/>
      <c r="I208" s="61"/>
      <c r="L208" t="s">
        <v>49</v>
      </c>
      <c r="M208" t="s">
        <v>49</v>
      </c>
      <c r="T208" t="s">
        <v>49</v>
      </c>
      <c r="AM208" t="s">
        <v>49</v>
      </c>
      <c r="AN208" s="56"/>
    </row>
    <row r="209" spans="1:40" ht="48" x14ac:dyDescent="0.2">
      <c r="A209" s="76" t="s">
        <v>720</v>
      </c>
      <c r="B209" s="51" t="s">
        <v>721</v>
      </c>
      <c r="C209" s="64" t="s">
        <v>722</v>
      </c>
      <c r="F209" s="53" t="str">
        <f t="shared" si="11"/>
        <v>-</v>
      </c>
      <c r="G209" s="63">
        <v>2024</v>
      </c>
      <c r="H209" s="61"/>
      <c r="I209" s="61"/>
      <c r="K209" t="s">
        <v>49</v>
      </c>
      <c r="M209" t="s">
        <v>49</v>
      </c>
      <c r="T209" t="s">
        <v>49</v>
      </c>
      <c r="AM209" t="s">
        <v>49</v>
      </c>
      <c r="AN209" s="56"/>
    </row>
    <row r="210" spans="1:40" ht="48" x14ac:dyDescent="0.2">
      <c r="A210" s="76" t="s">
        <v>723</v>
      </c>
      <c r="B210" s="51" t="s">
        <v>724</v>
      </c>
      <c r="C210" s="64" t="s">
        <v>725</v>
      </c>
      <c r="F210" s="53" t="str">
        <f t="shared" si="11"/>
        <v>-</v>
      </c>
      <c r="G210" s="63">
        <v>2024</v>
      </c>
      <c r="H210" s="61"/>
      <c r="I210" s="61"/>
      <c r="L210" t="s">
        <v>49</v>
      </c>
      <c r="M210" t="s">
        <v>49</v>
      </c>
      <c r="T210" t="s">
        <v>49</v>
      </c>
      <c r="V210" t="s">
        <v>49</v>
      </c>
      <c r="AM210" t="s">
        <v>49</v>
      </c>
      <c r="AN210" s="56"/>
    </row>
    <row r="211" spans="1:40" ht="80" x14ac:dyDescent="0.2">
      <c r="A211" s="76" t="s">
        <v>726</v>
      </c>
      <c r="B211" s="51" t="s">
        <v>727</v>
      </c>
      <c r="C211" t="s">
        <v>728</v>
      </c>
      <c r="F211" s="53" t="str">
        <f t="shared" si="11"/>
        <v>-</v>
      </c>
      <c r="G211" s="63">
        <v>2024</v>
      </c>
      <c r="H211" s="61"/>
      <c r="I211" s="61"/>
      <c r="L211" t="s">
        <v>49</v>
      </c>
      <c r="M211" t="s">
        <v>49</v>
      </c>
      <c r="T211" t="s">
        <v>49</v>
      </c>
      <c r="AM211" t="s">
        <v>49</v>
      </c>
      <c r="AN211" s="56"/>
    </row>
    <row r="212" spans="1:40" ht="48" x14ac:dyDescent="0.2">
      <c r="A212" s="76" t="s">
        <v>729</v>
      </c>
      <c r="B212" s="51" t="s">
        <v>730</v>
      </c>
      <c r="C212" s="64" t="s">
        <v>731</v>
      </c>
      <c r="F212" s="53" t="str">
        <f t="shared" si="11"/>
        <v>-</v>
      </c>
      <c r="G212" s="63">
        <v>2024</v>
      </c>
      <c r="H212" s="61"/>
      <c r="I212" s="61"/>
      <c r="L212" t="s">
        <v>49</v>
      </c>
      <c r="M212" t="s">
        <v>49</v>
      </c>
      <c r="T212" t="s">
        <v>49</v>
      </c>
      <c r="AM212" t="s">
        <v>49</v>
      </c>
      <c r="AN212" s="56"/>
    </row>
    <row r="213" spans="1:40" ht="32" x14ac:dyDescent="0.2">
      <c r="A213" s="76" t="s">
        <v>732</v>
      </c>
      <c r="B213" s="51" t="s">
        <v>733</v>
      </c>
      <c r="C213" t="s">
        <v>734</v>
      </c>
      <c r="F213" s="53" t="str">
        <f t="shared" si="11"/>
        <v>-</v>
      </c>
      <c r="G213" s="63">
        <v>2023</v>
      </c>
      <c r="H213" s="61"/>
      <c r="I213" s="61"/>
      <c r="L213" t="s">
        <v>646</v>
      </c>
      <c r="M213" s="66" t="s">
        <v>49</v>
      </c>
      <c r="T213" s="66" t="s">
        <v>49</v>
      </c>
      <c r="W213" s="66" t="s">
        <v>49</v>
      </c>
      <c r="AD213" s="66" t="s">
        <v>49</v>
      </c>
      <c r="AK213" s="66" t="s">
        <v>49</v>
      </c>
      <c r="AN213" s="56"/>
    </row>
    <row r="214" spans="1:40" ht="64" x14ac:dyDescent="0.2">
      <c r="A214" s="76" t="s">
        <v>735</v>
      </c>
      <c r="B214" s="51" t="s">
        <v>736</v>
      </c>
      <c r="C214" t="s">
        <v>737</v>
      </c>
      <c r="F214" s="53" t="str">
        <f t="shared" si="11"/>
        <v>-</v>
      </c>
      <c r="G214" s="63">
        <v>2024</v>
      </c>
      <c r="L214" t="s">
        <v>49</v>
      </c>
      <c r="O214" s="66" t="s">
        <v>49</v>
      </c>
      <c r="T214" s="66" t="s">
        <v>49</v>
      </c>
      <c r="X214" s="66" t="s">
        <v>49</v>
      </c>
      <c r="AM214" s="66" t="s">
        <v>49</v>
      </c>
      <c r="AN214" s="56"/>
    </row>
    <row r="215" spans="1:40" ht="64" x14ac:dyDescent="0.2">
      <c r="A215" s="76" t="s">
        <v>738</v>
      </c>
      <c r="B215" s="51" t="s">
        <v>739</v>
      </c>
      <c r="C215" t="s">
        <v>740</v>
      </c>
      <c r="E215" t="s">
        <v>49</v>
      </c>
      <c r="F215" s="53" t="str">
        <f>IF(AND(ISTEXT("https://github.com/Tourneso/DeepFusion"),"https://github.com/Tourneso/DeepFusion"&lt;&gt;""), HYPERLINK("https://github.com/Tourneso/DeepFusion", "Link"),"-")</f>
        <v>Link</v>
      </c>
      <c r="G215" s="63">
        <v>2024</v>
      </c>
      <c r="L215" t="s">
        <v>49</v>
      </c>
      <c r="M215" t="s">
        <v>49</v>
      </c>
      <c r="T215" t="s">
        <v>49</v>
      </c>
      <c r="V215" t="s">
        <v>49</v>
      </c>
      <c r="X215" t="s">
        <v>49</v>
      </c>
      <c r="AM215" t="s">
        <v>49</v>
      </c>
      <c r="AN215" s="56"/>
    </row>
    <row r="216" spans="1:40" ht="48" x14ac:dyDescent="0.2">
      <c r="A216" s="76" t="s">
        <v>741</v>
      </c>
      <c r="B216" s="51" t="s">
        <v>742</v>
      </c>
      <c r="C216" s="64" t="s">
        <v>743</v>
      </c>
      <c r="E216" t="s">
        <v>49</v>
      </c>
      <c r="F216" s="53" t="str">
        <f>IF(AND(ISTEXT("https://github.com/Wang-Yi-chen/ContractGNN"),"https://github.com/Wang-Yi-chen/ContractGNN"&lt;&gt;""), HYPERLINK("https://github.com/Wang-Yi-chen/ContractGNN", "Link"),"-")</f>
        <v>Link</v>
      </c>
      <c r="G216" s="63">
        <v>2024</v>
      </c>
      <c r="L216" t="s">
        <v>49</v>
      </c>
      <c r="M216" t="s">
        <v>49</v>
      </c>
      <c r="T216" t="s">
        <v>49</v>
      </c>
      <c r="V216" t="s">
        <v>49</v>
      </c>
      <c r="AM216" t="s">
        <v>49</v>
      </c>
      <c r="AN216" s="56"/>
    </row>
    <row r="217" spans="1:40" ht="64" x14ac:dyDescent="0.2">
      <c r="A217" s="76" t="s">
        <v>462</v>
      </c>
      <c r="B217" s="51" t="s">
        <v>744</v>
      </c>
      <c r="C217" s="64" t="s">
        <v>745</v>
      </c>
      <c r="F217" s="53" t="str">
        <f>IF(AND(ISTEXT(""),""&lt;&gt;""), HYPERLINK("", "Link"),"-")</f>
        <v>-</v>
      </c>
      <c r="G217" s="63">
        <v>2023</v>
      </c>
      <c r="L217" t="s">
        <v>49</v>
      </c>
      <c r="T217" t="s">
        <v>49</v>
      </c>
      <c r="W217" t="s">
        <v>49</v>
      </c>
      <c r="X217" t="s">
        <v>49</v>
      </c>
      <c r="AM217" t="s">
        <v>49</v>
      </c>
      <c r="AN217" s="56"/>
    </row>
    <row r="218" spans="1:40" ht="96" x14ac:dyDescent="0.2">
      <c r="A218" s="76" t="s">
        <v>746</v>
      </c>
      <c r="B218" s="51" t="s">
        <v>747</v>
      </c>
      <c r="C218" s="64" t="s">
        <v>748</v>
      </c>
      <c r="F218" s="53" t="str">
        <f>IF(AND(ISTEXT(""),""&lt;&gt;""), HYPERLINK("", "Link"),"-")</f>
        <v>-</v>
      </c>
      <c r="G218" s="63">
        <v>2024</v>
      </c>
      <c r="L218" t="s">
        <v>49</v>
      </c>
      <c r="M218" t="s">
        <v>49</v>
      </c>
      <c r="T218" t="s">
        <v>49</v>
      </c>
      <c r="U218" t="s">
        <v>49</v>
      </c>
      <c r="V218" t="s">
        <v>49</v>
      </c>
      <c r="AG218" t="s">
        <v>49</v>
      </c>
      <c r="AN218" s="56"/>
    </row>
    <row r="219" spans="1:40" ht="32" x14ac:dyDescent="0.2">
      <c r="A219" s="76" t="s">
        <v>749</v>
      </c>
      <c r="B219" s="51" t="s">
        <v>750</v>
      </c>
      <c r="C219" t="s">
        <v>751</v>
      </c>
      <c r="F219" s="53" t="str">
        <f>IF(AND(ISTEXT(""),""&lt;&gt;""), HYPERLINK("", "Link"),"-")</f>
        <v>-</v>
      </c>
      <c r="G219" s="63">
        <v>2024</v>
      </c>
      <c r="L219" t="s">
        <v>49</v>
      </c>
      <c r="M219" t="s">
        <v>49</v>
      </c>
      <c r="T219" t="s">
        <v>49</v>
      </c>
      <c r="AM219" t="s">
        <v>49</v>
      </c>
      <c r="AN219" s="56"/>
    </row>
    <row r="220" spans="1:40" ht="64" x14ac:dyDescent="0.2">
      <c r="A220" s="76" t="s">
        <v>752</v>
      </c>
      <c r="B220" s="51" t="s">
        <v>753</v>
      </c>
      <c r="C220" t="s">
        <v>754</v>
      </c>
      <c r="E220" t="s">
        <v>49</v>
      </c>
      <c r="F220" s="53" t="str">
        <f>IF(AND(ISTEXT("https://github.com/Jiachi-Chen/DefectChecker/"),"https://github.com/Jiachi-Chen/DefectChecker/"&lt;&gt;""), HYPERLINK("https://github.com/Jiachi-Chen/DefectChecker/", "Link"),"-")</f>
        <v>Link</v>
      </c>
      <c r="G220" s="63">
        <v>2021</v>
      </c>
      <c r="H220" s="80">
        <v>2021</v>
      </c>
      <c r="I220" s="80">
        <v>2021</v>
      </c>
      <c r="J220" t="s">
        <v>755</v>
      </c>
      <c r="K220" t="s">
        <v>49</v>
      </c>
      <c r="M220" t="s">
        <v>49</v>
      </c>
      <c r="T220" t="s">
        <v>49</v>
      </c>
      <c r="V220" t="s">
        <v>49</v>
      </c>
      <c r="AC220" t="s">
        <v>49</v>
      </c>
      <c r="AN220" s="56"/>
    </row>
    <row r="221" spans="1:40" ht="48" x14ac:dyDescent="0.2">
      <c r="A221" s="76" t="s">
        <v>756</v>
      </c>
      <c r="B221" s="51" t="s">
        <v>757</v>
      </c>
      <c r="C221" s="64" t="s">
        <v>758</v>
      </c>
      <c r="E221" t="s">
        <v>49</v>
      </c>
      <c r="F221" s="53" t="str">
        <f>IF(AND(ISTEXT("https://github.com/VPRLab/SoMo"),"https://github.com/VPRLab/SoMo"&lt;&gt;""), HYPERLINK("https://github.com/VPRLab/SoMo", "Link"),"-")</f>
        <v>Link</v>
      </c>
      <c r="G221" s="63">
        <v>2023</v>
      </c>
      <c r="H221" s="61">
        <v>2023</v>
      </c>
      <c r="I221" s="61">
        <v>2023</v>
      </c>
      <c r="J221" t="s">
        <v>51</v>
      </c>
      <c r="L221" t="s">
        <v>49</v>
      </c>
      <c r="M221" t="s">
        <v>49</v>
      </c>
      <c r="T221" t="s">
        <v>49</v>
      </c>
      <c r="V221" t="s">
        <v>49</v>
      </c>
      <c r="AM221" t="s">
        <v>49</v>
      </c>
      <c r="AN221" s="56" t="s">
        <v>49</v>
      </c>
    </row>
    <row r="222" spans="1:40" ht="64" x14ac:dyDescent="0.2">
      <c r="A222" s="76" t="s">
        <v>759</v>
      </c>
      <c r="B222" s="51" t="s">
        <v>760</v>
      </c>
      <c r="C222" t="s">
        <v>761</v>
      </c>
      <c r="E222" t="s">
        <v>49</v>
      </c>
      <c r="F222" s="53" t="str">
        <f>IF(AND(ISTEXT("https://github.com/GerardoIuliano/MuSe"),"https://github.com/GerardoIuliano/MuSe"&lt;&gt;""), HYPERLINK("https://github.com/GerardoIuliano/MuSe", "Link"),"-")</f>
        <v>Link</v>
      </c>
      <c r="G222" s="52">
        <v>2025</v>
      </c>
      <c r="H222" s="52">
        <v>2025</v>
      </c>
      <c r="I222" s="52">
        <v>2025</v>
      </c>
      <c r="J222" t="s">
        <v>249</v>
      </c>
      <c r="L222" t="s">
        <v>49</v>
      </c>
      <c r="S222" t="s">
        <v>49</v>
      </c>
      <c r="T222" t="s">
        <v>49</v>
      </c>
      <c r="X222" t="s">
        <v>49</v>
      </c>
      <c r="AK222" t="s">
        <v>49</v>
      </c>
      <c r="AN222" s="56"/>
    </row>
    <row r="223" spans="1:40" ht="49" thickBot="1" x14ac:dyDescent="0.25">
      <c r="A223" s="81" t="s">
        <v>762</v>
      </c>
      <c r="B223" s="82" t="s">
        <v>763</v>
      </c>
      <c r="C223" s="83" t="s">
        <v>764</v>
      </c>
      <c r="D223" s="84"/>
      <c r="E223" s="83"/>
      <c r="F223" s="53" t="str">
        <f>IF(AND(ISTEXT(""),""&lt;&gt;""), HYPERLINK("", "Link"),"-")</f>
        <v>-</v>
      </c>
      <c r="G223" s="85">
        <v>2022</v>
      </c>
      <c r="H223" s="86"/>
      <c r="I223" s="83"/>
      <c r="J223" s="83"/>
      <c r="K223" s="83"/>
      <c r="L223" s="83" t="s">
        <v>562</v>
      </c>
      <c r="M223" s="83" t="s">
        <v>49</v>
      </c>
      <c r="N223" s="83"/>
      <c r="O223" s="83"/>
      <c r="P223" s="83"/>
      <c r="Q223" s="83"/>
      <c r="R223" s="83"/>
      <c r="S223" s="83"/>
      <c r="T223" s="83" t="s">
        <v>49</v>
      </c>
      <c r="U223" s="83" t="s">
        <v>49</v>
      </c>
      <c r="V223" s="83"/>
      <c r="W223" s="83"/>
      <c r="X223" s="83"/>
      <c r="Y223" s="83"/>
      <c r="Z223" s="83"/>
      <c r="AA223" s="83"/>
      <c r="AB223" s="83"/>
      <c r="AC223" s="83"/>
      <c r="AD223" s="83"/>
      <c r="AE223" s="83"/>
      <c r="AF223" s="83"/>
      <c r="AG223" s="83"/>
      <c r="AH223" s="83"/>
      <c r="AI223" s="83"/>
      <c r="AJ223" s="83"/>
      <c r="AK223" s="83" t="s">
        <v>49</v>
      </c>
      <c r="AL223" s="83"/>
      <c r="AM223" s="83"/>
      <c r="AN223" s="87"/>
    </row>
  </sheetData>
  <mergeCells count="5">
    <mergeCell ref="K1:L1"/>
    <mergeCell ref="M1:S1"/>
    <mergeCell ref="T1:U1"/>
    <mergeCell ref="V1:AB1"/>
    <mergeCell ref="AC1:AN1"/>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RQ2_Tools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IULIANO</dc:creator>
  <cp:lastModifiedBy>Gerardo IULIANO</cp:lastModifiedBy>
  <dcterms:created xsi:type="dcterms:W3CDTF">2025-11-12T16:52:17Z</dcterms:created>
  <dcterms:modified xsi:type="dcterms:W3CDTF">2025-11-12T16:52:36Z</dcterms:modified>
</cp:coreProperties>
</file>